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35"/>
  </bookViews>
  <sheets>
    <sheet name="2016 Budget" sheetId="1" r:id="rId1"/>
    <sheet name="HOME City Hall (NEA)" sheetId="8" r:id="rId2"/>
    <sheet name="Prince 2016" sheetId="3" r:id="rId3"/>
    <sheet name="Prince 2016 Notes" sheetId="5" r:id="rId4"/>
    <sheet name="Keene State College Tour 2016" sheetId="4" r:id="rId5"/>
    <sheet name="Austin, Texas HOME" sheetId="9" r:id="rId6"/>
    <sheet name="China Tour 2016" sheetId="2" r:id="rId7"/>
    <sheet name="Rehearsal Pay" sheetId="6" r:id="rId8"/>
    <sheet name="Office Assistance" sheetId="7" r:id="rId9"/>
  </sheets>
  <definedNames>
    <definedName name="_xlnm.Print_Area" localSheetId="0">'2016 Budget'!$A$1:$H$111</definedName>
    <definedName name="_xlnm.Print_Area" localSheetId="5">'Austin, Texas HOME'!$A$6:$G$29</definedName>
    <definedName name="_xlnm.Print_Area" localSheetId="6">'China Tour 2016'!$A$1:$E$33</definedName>
    <definedName name="_xlnm.Print_Area" localSheetId="4">'Keene State College Tour 2016'!$A$7:$G$30</definedName>
    <definedName name="_xlnm.Print_Titles" localSheetId="0">'2016 Budget'!$A:$D,'2016 Budget'!$1:$5</definedName>
    <definedName name="QB_COLUMN_59200" localSheetId="0" hidden="1">'2016 Budget'!$F$5</definedName>
    <definedName name="QB_COLUMN_76210" localSheetId="0" hidden="1">'2016 Budget'!$E$5</definedName>
    <definedName name="QB_DATA_0" localSheetId="0" hidden="1">'2016 Budget'!$9:$9,'2016 Budget'!$12:$12,'2016 Budget'!$13:$13,'2016 Budget'!$15:$15,'2016 Budget'!$16:$16,'2016 Budget'!$17:$17,'2016 Budget'!$18:$18,'2016 Budget'!$19:$19,'2016 Budget'!$20:$20,'2016 Budget'!$23:$23,'2016 Budget'!$24:$24,'2016 Budget'!$27:$27,'2016 Budget'!$28:$28,'2016 Budget'!$29:$29,'2016 Budget'!#REF!,'2016 Budget'!$37:$37</definedName>
    <definedName name="QB_DATA_1" localSheetId="0" hidden="1">'2016 Budget'!$42:$42,'2016 Budget'!$44:$44,'2016 Budget'!$45:$45,'2016 Budget'!$47:$47,'2016 Budget'!$49:$49,'2016 Budget'!$50:$50,'2016 Budget'!$51:$51,'2016 Budget'!$52:$52,'2016 Budget'!$53:$53,'2016 Budget'!$54:$54,'2016 Budget'!$55:$55,'2016 Budget'!$58:$58,'2016 Budget'!$59:$59,'2016 Budget'!$61:$61,'2016 Budget'!$64:$64,'2016 Budget'!$65:$65</definedName>
    <definedName name="QB_DATA_2" localSheetId="0" hidden="1">'2016 Budget'!$66:$66,'2016 Budget'!$67:$67,'2016 Budget'!$68:$68,'2016 Budget'!$73:$73,'2016 Budget'!$75:$75,'2016 Budget'!$76:$76,'2016 Budget'!$79:$79,'2016 Budget'!$80:$80,'2016 Budget'!$81:$81,'2016 Budget'!$82:$82,'2016 Budget'!$83:$83,'2016 Budget'!$86:$86,'2016 Budget'!$87:$87,'2016 Budget'!$88:$88,'2016 Budget'!$90:$90,'2016 Budget'!$91:$91</definedName>
    <definedName name="QB_DATA_3" localSheetId="0" hidden="1">'2016 Budget'!$93:$93,'2016 Budget'!$94:$94,'2016 Budget'!$96:$96,'2016 Budget'!$97:$97,'2016 Budget'!$98:$98,'2016 Budget'!$99:$99,'2016 Budget'!$101:$101,'2016 Budget'!$102:$102,'2016 Budget'!$105:$105,'2016 Budget'!$107:$107,'2016 Budget'!#REF!,'2016 Budget'!#REF!,'2016 Budget'!#REF!,'2016 Budget'!#REF!,'2016 Budget'!#REF!,'2016 Budget'!#REF!</definedName>
    <definedName name="QB_FORMULA_0" localSheetId="0" hidden="1">'2016 Budget'!$F$10,'2016 Budget'!$E$10,'2016 Budget'!$F$14,'2016 Budget'!$E$14,'2016 Budget'!$F$21,'2016 Budget'!$E$21,'2016 Budget'!$F$31,'2016 Budget'!$E$31,'2016 Budget'!#REF!,'2016 Budget'!$F$33,'2016 Budget'!$E$33,'2016 Budget'!$F$40,'2016 Budget'!$E$40,'2016 Budget'!$F$46,'2016 Budget'!$E$46,'2016 Budget'!$F$56</definedName>
    <definedName name="QB_FORMULA_1" localSheetId="0" hidden="1">'2016 Budget'!$E$56,'2016 Budget'!$F$60,'2016 Budget'!$E$60,'2016 Budget'!$F$69,'2016 Budget'!$E$69,'2016 Budget'!$F$74,'2016 Budget'!$E$74,'2016 Budget'!$F$77,'2016 Budget'!$E$77,'2016 Budget'!$F$92,'2016 Budget'!$E$92,'2016 Budget'!$F$100,'2016 Budget'!$E$100,'2016 Budget'!$F$103,'2016 Budget'!$E$103,'2016 Budget'!$F$108</definedName>
    <definedName name="QB_FORMULA_2" localSheetId="0" hidden="1">'2016 Budget'!$E$108,'2016 Budget'!$F$109,'2016 Budget'!$E$109,'2016 Budget'!$F$111,'2016 Budget'!$E$111,'2016 Budget'!#REF!,'2016 Budget'!#REF!,'2016 Budget'!#REF!,'2016 Budget'!#REF!,'2016 Budget'!#REF!,'2016 Budget'!#REF!,'2016 Budget'!#REF!,'2016 Budget'!#REF!,'2016 Budget'!#REF!,'2016 Budget'!#REF!</definedName>
    <definedName name="QB_ROW_100030" localSheetId="0" hidden="1">'2016 Budget'!$B$70</definedName>
    <definedName name="QB_ROW_100330" localSheetId="0" hidden="1">'2016 Budget'!$B$77</definedName>
    <definedName name="QB_ROW_101240" localSheetId="0" hidden="1">'2016 Budget'!$C$65</definedName>
    <definedName name="QB_ROW_102030" localSheetId="0" hidden="1">'2016 Budget'!$B$57</definedName>
    <definedName name="QB_ROW_102330" localSheetId="0" hidden="1">'2016 Budget'!$B$60</definedName>
    <definedName name="QB_ROW_10240" localSheetId="0" hidden="1">'2016 Budget'!$C$13</definedName>
    <definedName name="QB_ROW_105240" localSheetId="0" hidden="1">'2016 Budget'!$C$76</definedName>
    <definedName name="QB_ROW_106240" localSheetId="0" hidden="1">'2016 Budget'!$C$52</definedName>
    <definedName name="QB_ROW_107240" localSheetId="0" hidden="1">'2016 Budget'!$C$75</definedName>
    <definedName name="QB_ROW_109240" localSheetId="0" hidden="1">'2016 Budget'!$C$59</definedName>
    <definedName name="QB_ROW_110240" localSheetId="0" hidden="1">'2016 Budget'!$C$93</definedName>
    <definedName name="QB_ROW_11030" localSheetId="0" hidden="1">'2016 Budget'!$B$26</definedName>
    <definedName name="QB_ROW_112030" localSheetId="0" hidden="1">'2016 Budget'!#REF!</definedName>
    <definedName name="QB_ROW_112330" localSheetId="0" hidden="1">'2016 Budget'!#REF!</definedName>
    <definedName name="QB_ROW_113240" localSheetId="0" hidden="1">'2016 Budget'!#REF!</definedName>
    <definedName name="QB_ROW_11330" localSheetId="0" hidden="1">'2016 Budget'!$B$31</definedName>
    <definedName name="QB_ROW_114240" localSheetId="0" hidden="1">'2016 Budget'!#REF!</definedName>
    <definedName name="QB_ROW_116240" localSheetId="0" hidden="1">'2016 Budget'!#REF!</definedName>
    <definedName name="QB_ROW_119230" localSheetId="0" hidden="1">'2016 Budget'!#REF!</definedName>
    <definedName name="QB_ROW_120240" localSheetId="0" hidden="1">'2016 Budget'!$C$81</definedName>
    <definedName name="QB_ROW_121240" localSheetId="0" hidden="1">'2016 Budget'!$C$88</definedName>
    <definedName name="QB_ROW_122230" localSheetId="0" hidden="1">'2016 Budget'!$B$61</definedName>
    <definedName name="QB_ROW_124030" localSheetId="0" hidden="1">'2016 Budget'!$B$104</definedName>
    <definedName name="QB_ROW_124240" localSheetId="0" hidden="1">'2016 Budget'!$C$107</definedName>
    <definedName name="QB_ROW_124330" localSheetId="0" hidden="1">'2016 Budget'!$B$108</definedName>
    <definedName name="QB_ROW_125240" localSheetId="0" hidden="1">'2016 Budget'!$C$105</definedName>
    <definedName name="QB_ROW_127240" localSheetId="0" hidden="1">'2016 Budget'!$C$49</definedName>
    <definedName name="QB_ROW_131250" localSheetId="0" hidden="1">'2016 Budget'!$D$45</definedName>
    <definedName name="QB_ROW_132250" localSheetId="0" hidden="1">'2016 Budget'!$D$44</definedName>
    <definedName name="QB_ROW_134240" localSheetId="0" hidden="1">'2016 Budget'!$C$54</definedName>
    <definedName name="QB_ROW_135240" localSheetId="0" hidden="1">'2016 Budget'!$C$55</definedName>
    <definedName name="QB_ROW_136240" localSheetId="0" hidden="1">'2016 Budget'!$C$80</definedName>
    <definedName name="QB_ROW_138250" localSheetId="0" hidden="1">'2016 Budget'!$D$96</definedName>
    <definedName name="QB_ROW_139250" localSheetId="0" hidden="1">'2016 Budget'!$D$97</definedName>
    <definedName name="QB_ROW_140250" localSheetId="0" hidden="1">'2016 Budget'!$D$98</definedName>
    <definedName name="QB_ROW_142250" localSheetId="0" hidden="1">'2016 Budget'!$D$73</definedName>
    <definedName name="QB_ROW_143240" localSheetId="0" hidden="1">'2016 Budget'!$C$9</definedName>
    <definedName name="QB_ROW_146240" localSheetId="0" hidden="1">'2016 Budget'!$C$29</definedName>
    <definedName name="QB_ROW_148250" localSheetId="0" hidden="1">'2016 Budget'!$D$99</definedName>
    <definedName name="QB_ROW_150240" localSheetId="0" hidden="1">'2016 Budget'!$C$82</definedName>
    <definedName name="QB_ROW_151240" localSheetId="0" hidden="1">'2016 Budget'!#REF!</definedName>
    <definedName name="QB_ROW_152240" localSheetId="0" hidden="1">'2016 Budget'!#REF!</definedName>
    <definedName name="QB_ROW_15240" localSheetId="0" hidden="1">'2016 Budget'!$C$64</definedName>
    <definedName name="QB_ROW_17040" localSheetId="0" hidden="1">'2016 Budget'!$C$95</definedName>
    <definedName name="QB_ROW_17340" localSheetId="0" hidden="1">'2016 Budget'!$C$100</definedName>
    <definedName name="QB_ROW_18240" localSheetId="0" hidden="1">'2016 Budget'!$C$66</definedName>
    <definedName name="QB_ROW_18301" localSheetId="0" hidden="1">'2016 Budget'!#REF!</definedName>
    <definedName name="QB_ROW_19011" localSheetId="0" hidden="1">'2016 Budget'!#REF!</definedName>
    <definedName name="QB_ROW_19311" localSheetId="0" hidden="1">'2016 Budget'!$A$111</definedName>
    <definedName name="QB_ROW_20021" localSheetId="0" hidden="1">'2016 Budget'!$A$6</definedName>
    <definedName name="QB_ROW_20240" localSheetId="0" hidden="1">'2016 Budget'!$C$51</definedName>
    <definedName name="QB_ROW_20321" localSheetId="0" hidden="1">'2016 Budget'!$A$33</definedName>
    <definedName name="QB_ROW_21021" localSheetId="0" hidden="1">'2016 Budget'!$A$35</definedName>
    <definedName name="QB_ROW_21240" localSheetId="0" hidden="1">'2016 Budget'!$C$53</definedName>
    <definedName name="QB_ROW_21321" localSheetId="0" hidden="1">'2016 Budget'!$A$109</definedName>
    <definedName name="QB_ROW_22011" localSheetId="0" hidden="1">'2016 Budget'!#REF!</definedName>
    <definedName name="QB_ROW_22311" localSheetId="0" hidden="1">'2016 Budget'!#REF!</definedName>
    <definedName name="QB_ROW_23021" localSheetId="0" hidden="1">'2016 Budget'!#REF!</definedName>
    <definedName name="QB_ROW_23040" localSheetId="0" hidden="1">'2016 Budget'!$C$89</definedName>
    <definedName name="QB_ROW_23250" localSheetId="0" hidden="1">'2016 Budget'!$D$91</definedName>
    <definedName name="QB_ROW_23321" localSheetId="0" hidden="1">'2016 Budget'!#REF!</definedName>
    <definedName name="QB_ROW_23340" localSheetId="0" hidden="1">'2016 Budget'!$C$92</definedName>
    <definedName name="QB_ROW_24021" localSheetId="0" hidden="1">'2016 Budget'!#REF!</definedName>
    <definedName name="QB_ROW_24321" localSheetId="0" hidden="1">'2016 Budget'!#REF!</definedName>
    <definedName name="QB_ROW_26240" localSheetId="0" hidden="1">'2016 Budget'!$C$50</definedName>
    <definedName name="QB_ROW_34240" localSheetId="0" hidden="1">'2016 Budget'!$C$79</definedName>
    <definedName name="QB_ROW_45040" localSheetId="0" hidden="1">'2016 Budget'!$C$43</definedName>
    <definedName name="QB_ROW_45340" localSheetId="0" hidden="1">'2016 Budget'!$C$46</definedName>
    <definedName name="QB_ROW_50230" localSheetId="0" hidden="1">'2016 Budget'!$B$18</definedName>
    <definedName name="QB_ROW_52230" localSheetId="0" hidden="1">'2016 Budget'!$B$17</definedName>
    <definedName name="QB_ROW_57240" localSheetId="0" hidden="1">'2016 Budget'!$B$19</definedName>
    <definedName name="QB_ROW_58240" localSheetId="0" hidden="1">'2016 Budget'!$C$87</definedName>
    <definedName name="QB_ROW_59240" localSheetId="0" hidden="1">'2016 Budget'!$C$102</definedName>
    <definedName name="QB_ROW_60240" localSheetId="0" hidden="1">'2016 Budget'!$C$86</definedName>
    <definedName name="QB_ROW_61240" localSheetId="0" hidden="1">'2016 Budget'!$C$47</definedName>
    <definedName name="QB_ROW_62250" localSheetId="0" hidden="1">'2016 Budget'!$D$90</definedName>
    <definedName name="QB_ROW_63240" localSheetId="0" hidden="1">'2016 Budget'!$C$58</definedName>
    <definedName name="QB_ROW_65240" localSheetId="0" hidden="1">'2016 Budget'!$C$101</definedName>
    <definedName name="QB_ROW_66230" localSheetId="0" hidden="1">'2016 Budget'!$B$16</definedName>
    <definedName name="QB_ROW_68240" localSheetId="0" hidden="1">'2016 Budget'!$C$67</definedName>
    <definedName name="QB_ROW_69240" localSheetId="0" hidden="1">'2016 Budget'!$C$42</definedName>
    <definedName name="QB_ROW_70240" localSheetId="0" hidden="1">'2016 Budget'!$C$37</definedName>
    <definedName name="QB_ROW_71040" localSheetId="0" hidden="1">'2016 Budget'!$C$71</definedName>
    <definedName name="QB_ROW_71340" localSheetId="0" hidden="1">'2016 Budget'!$C$74</definedName>
    <definedName name="QB_ROW_7340" localSheetId="0" hidden="1">'2016 Budget'!$C$94</definedName>
    <definedName name="QB_ROW_77240" localSheetId="0" hidden="1">'2016 Budget'!#REF!</definedName>
    <definedName name="QB_ROW_81030" localSheetId="0" hidden="1">'2016 Budget'!$B$36</definedName>
    <definedName name="QB_ROW_81330" localSheetId="0" hidden="1">'2016 Budget'!$B$40</definedName>
    <definedName name="QB_ROW_83030" localSheetId="0" hidden="1">'2016 Budget'!#REF!</definedName>
    <definedName name="QB_ROW_83240" localSheetId="0" hidden="1">'2016 Budget'!$B$20</definedName>
    <definedName name="QB_ROW_83330" localSheetId="0" hidden="1">'2016 Budget'!$B$21</definedName>
    <definedName name="QB_ROW_84230" localSheetId="0" hidden="1">'2016 Budget'!$B$24</definedName>
    <definedName name="QB_ROW_86030" localSheetId="0" hidden="1">'2016 Budget'!#REF!</definedName>
    <definedName name="QB_ROW_86330" localSheetId="0" hidden="1">'2016 Budget'!#REF!</definedName>
    <definedName name="QB_ROW_87030" localSheetId="0" hidden="1">'2016 Budget'!$B$11</definedName>
    <definedName name="QB_ROW_87330" localSheetId="0" hidden="1">'2016 Budget'!$B$14</definedName>
    <definedName name="QB_ROW_88240" localSheetId="0" hidden="1">'2016 Budget'!$C$28</definedName>
    <definedName name="QB_ROW_89240" localSheetId="0" hidden="1">'2016 Budget'!$C$27</definedName>
    <definedName name="QB_ROW_91240" localSheetId="0" hidden="1">'2016 Budget'!$C$12</definedName>
    <definedName name="QB_ROW_9230" localSheetId="0" hidden="1">'2016 Budget'!$B$23</definedName>
    <definedName name="QB_ROW_93030" localSheetId="0" hidden="1">'2016 Budget'!$B$8</definedName>
    <definedName name="QB_ROW_93330" localSheetId="0" hidden="1">'2016 Budget'!$B$10</definedName>
    <definedName name="QB_ROW_94230" localSheetId="0" hidden="1">'2016 Budget'!$B$15</definedName>
    <definedName name="QB_ROW_96030" localSheetId="0" hidden="1">'2016 Budget'!$B$78</definedName>
    <definedName name="QB_ROW_96330" localSheetId="0" hidden="1">'2016 Budget'!$B$103</definedName>
    <definedName name="QB_ROW_97240" localSheetId="0" hidden="1">'2016 Budget'!$C$83</definedName>
    <definedName name="QB_ROW_98030" localSheetId="0" hidden="1">'2016 Budget'!$B$63</definedName>
    <definedName name="QB_ROW_98240" localSheetId="0" hidden="1">'2016 Budget'!$C$68</definedName>
    <definedName name="QB_ROW_98330" localSheetId="0" hidden="1">'2016 Budget'!$B$69</definedName>
    <definedName name="QB_ROW_99030" localSheetId="0" hidden="1">'2016 Budget'!$B$41</definedName>
    <definedName name="QB_ROW_99330" localSheetId="0" hidden="1">'2016 Budget'!$B$56</definedName>
    <definedName name="QBCANSUPPORTUPDATE" localSheetId="0">TRUE</definedName>
    <definedName name="QBCOMPANYFILENAME" localSheetId="0">"C:\Users\KYLDPhilly\Desktop\Quick Books\kyl dancers Dec 14 2009(Acct Transfer Jun 24,2009  03 45 PM).QBW"</definedName>
    <definedName name="QBENDDATE" localSheetId="0">20141031</definedName>
    <definedName name="QBHEADERSONSCREEN" localSheetId="0">FALSE</definedName>
    <definedName name="QBMETADATASIZE" localSheetId="0">5809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"754883a1447e4e6ba8e1758188186932"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288</definedName>
    <definedName name="QBROWHEADERS" localSheetId="0">6</definedName>
    <definedName name="QBSTARTDATE" localSheetId="0">20140101</definedName>
  </definedNames>
  <calcPr calcId="124519"/>
</workbook>
</file>

<file path=xl/calcChain.xml><?xml version="1.0" encoding="utf-8"?>
<calcChain xmlns="http://schemas.openxmlformats.org/spreadsheetml/2006/main">
  <c r="F30" i="1"/>
  <c r="E30"/>
  <c r="E25"/>
  <c r="E31" s="1"/>
  <c r="G24"/>
  <c r="G25" s="1"/>
  <c r="F24"/>
  <c r="F25" s="1"/>
  <c r="G86"/>
  <c r="G61"/>
  <c r="G29"/>
  <c r="F9"/>
  <c r="G73"/>
  <c r="F97"/>
  <c r="G17"/>
  <c r="G27"/>
  <c r="G96"/>
  <c r="G85"/>
  <c r="G99"/>
  <c r="G20"/>
  <c r="G80"/>
  <c r="C15" i="9"/>
  <c r="G88" i="1"/>
  <c r="G84"/>
  <c r="C9" i="6"/>
  <c r="G37" i="1"/>
  <c r="G52"/>
  <c r="G28"/>
  <c r="D25" i="9"/>
  <c r="D22"/>
  <c r="D21"/>
  <c r="D20"/>
  <c r="D17"/>
  <c r="D16"/>
  <c r="D15"/>
  <c r="D14"/>
  <c r="D13"/>
  <c r="D12"/>
  <c r="D8"/>
  <c r="D7"/>
  <c r="F31" i="1" l="1"/>
  <c r="G30"/>
  <c r="G31" s="1"/>
  <c r="D9" i="9"/>
  <c r="G40" i="1"/>
  <c r="D23" i="9"/>
  <c r="D27" s="1"/>
  <c r="D29" s="1"/>
  <c r="B18" i="8"/>
  <c r="B38"/>
  <c r="B28"/>
  <c r="G55" i="1" s="1"/>
  <c r="B13" i="8"/>
  <c r="B21"/>
  <c r="G58" i="1" s="1"/>
  <c r="B19" i="8"/>
  <c r="D13" i="5"/>
  <c r="C56" i="3"/>
  <c r="G105" i="1" s="1"/>
  <c r="C41" i="3"/>
  <c r="C51"/>
  <c r="F9" i="7"/>
  <c r="F6"/>
  <c r="F5"/>
  <c r="F4"/>
  <c r="D24" i="2"/>
  <c r="B9" i="6"/>
  <c r="D9" s="1"/>
  <c r="G45" i="1" s="1"/>
  <c r="D23" i="4"/>
  <c r="C22"/>
  <c r="D22" s="1"/>
  <c r="C16"/>
  <c r="D16" s="1"/>
  <c r="G50" i="1" s="1"/>
  <c r="C21" i="4"/>
  <c r="D21" s="1"/>
  <c r="D24" s="1"/>
  <c r="B7" i="5"/>
  <c r="D7" s="1"/>
  <c r="D9" s="1"/>
  <c r="D8"/>
  <c r="B38"/>
  <c r="F38"/>
  <c r="B39"/>
  <c r="C63" i="3" s="1"/>
  <c r="F39" i="5"/>
  <c r="D26" i="4"/>
  <c r="D15"/>
  <c r="G47" i="1" s="1"/>
  <c r="D13" i="4"/>
  <c r="G42" i="1" s="1"/>
  <c r="D18" i="4"/>
  <c r="G51" i="1" s="1"/>
  <c r="D14" i="4"/>
  <c r="D17"/>
  <c r="D9"/>
  <c r="D8"/>
  <c r="C33" i="3"/>
  <c r="C54"/>
  <c r="C17"/>
  <c r="C10"/>
  <c r="C9"/>
  <c r="C7"/>
  <c r="C18" i="2"/>
  <c r="D18" s="1"/>
  <c r="C26"/>
  <c r="D26" s="1"/>
  <c r="D25"/>
  <c r="C23"/>
  <c r="D23" s="1"/>
  <c r="D29"/>
  <c r="D17"/>
  <c r="D15"/>
  <c r="E20"/>
  <c r="C20"/>
  <c r="D20" s="1"/>
  <c r="D16"/>
  <c r="D19"/>
  <c r="D11"/>
  <c r="D10"/>
  <c r="D9"/>
  <c r="D8"/>
  <c r="E45" i="1"/>
  <c r="E108"/>
  <c r="E96"/>
  <c r="E100" s="1"/>
  <c r="E92"/>
  <c r="E88"/>
  <c r="E74"/>
  <c r="E77" s="1"/>
  <c r="E68"/>
  <c r="E66"/>
  <c r="E64"/>
  <c r="E60"/>
  <c r="E55"/>
  <c r="E51"/>
  <c r="E46"/>
  <c r="E40"/>
  <c r="E17"/>
  <c r="E14"/>
  <c r="E9"/>
  <c r="E10" s="1"/>
  <c r="E21" l="1"/>
  <c r="E33" s="1"/>
  <c r="G53"/>
  <c r="D28" i="4"/>
  <c r="D27" i="2"/>
  <c r="G44" i="1"/>
  <c r="G94" s="1"/>
  <c r="G64"/>
  <c r="E56"/>
  <c r="B23" i="8"/>
  <c r="B45" s="1"/>
  <c r="B47" s="1"/>
  <c r="D12" i="2"/>
  <c r="D31"/>
  <c r="G9" i="1"/>
  <c r="G10" s="1"/>
  <c r="C11" i="3"/>
  <c r="C20" s="1"/>
  <c r="C31"/>
  <c r="C34" s="1"/>
  <c r="D10" i="4"/>
  <c r="E94" i="1"/>
  <c r="E103" s="1"/>
  <c r="E69"/>
  <c r="G13" l="1"/>
  <c r="G14" s="1"/>
  <c r="G54"/>
  <c r="C59" i="3"/>
  <c r="C61" s="1"/>
  <c r="D33" i="2"/>
  <c r="D30" i="4"/>
  <c r="E109" i="1"/>
  <c r="E111" s="1"/>
  <c r="G46"/>
  <c r="G60"/>
  <c r="G69"/>
  <c r="G74"/>
  <c r="G77" s="1"/>
  <c r="G92"/>
  <c r="G100"/>
  <c r="G108"/>
  <c r="F74"/>
  <c r="F77" s="1"/>
  <c r="F40"/>
  <c r="F10"/>
  <c r="F14"/>
  <c r="F21" s="1"/>
  <c r="F33" s="1"/>
  <c r="F46"/>
  <c r="F56" s="1"/>
  <c r="F60"/>
  <c r="F69"/>
  <c r="F92"/>
  <c r="F100"/>
  <c r="F108"/>
  <c r="G56" l="1"/>
  <c r="G21"/>
  <c r="G33" s="1"/>
  <c r="G103"/>
  <c r="G109" s="1"/>
  <c r="F103"/>
  <c r="F109" s="1"/>
  <c r="F111" s="1"/>
  <c r="G111" l="1"/>
</calcChain>
</file>

<file path=xl/sharedStrings.xml><?xml version="1.0" encoding="utf-8"?>
<sst xmlns="http://schemas.openxmlformats.org/spreadsheetml/2006/main" count="397" uniqueCount="317">
  <si>
    <t>Budget</t>
  </si>
  <si>
    <t>Income</t>
  </si>
  <si>
    <t>4000  Ticket sales</t>
  </si>
  <si>
    <t>4010 Ticket Sales - CHI MAC</t>
  </si>
  <si>
    <t>Total 4000  Ticket sales</t>
  </si>
  <si>
    <t>4100  Contracted performances</t>
  </si>
  <si>
    <t>4110 Local</t>
  </si>
  <si>
    <t>4120 Touring</t>
  </si>
  <si>
    <t>Total 4100  Contracted performances</t>
  </si>
  <si>
    <t>4200  Workshop and Lecture Fees</t>
  </si>
  <si>
    <t>4300  Classes</t>
  </si>
  <si>
    <t>4400  Rental Income</t>
  </si>
  <si>
    <t>4500  Merchandise Sales</t>
  </si>
  <si>
    <t>5000  Contributions - Individ.</t>
  </si>
  <si>
    <t>5100  Contributions - Board</t>
  </si>
  <si>
    <t>5200  Contributions - Org.</t>
  </si>
  <si>
    <t>5210 Corporations</t>
  </si>
  <si>
    <t>5220 Foundations</t>
  </si>
  <si>
    <t>5225 Foundations (Released)</t>
  </si>
  <si>
    <t>Total Income</t>
  </si>
  <si>
    <t>Expense</t>
  </si>
  <si>
    <t>6000  Artistic Expense</t>
  </si>
  <si>
    <t>6110 Artistic Director-Salary</t>
  </si>
  <si>
    <t>Total 6000  Artistic Expense</t>
  </si>
  <si>
    <t>6200  Performance Expense</t>
  </si>
  <si>
    <t>6210 Costumes</t>
  </si>
  <si>
    <t>6220 Dancers</t>
  </si>
  <si>
    <t>6222 Performance pay</t>
  </si>
  <si>
    <t>6224 Rehearsal pay</t>
  </si>
  <si>
    <t>Total 6220 Dancers</t>
  </si>
  <si>
    <t>6230 Musicians</t>
  </si>
  <si>
    <t>6240 Other</t>
  </si>
  <si>
    <t>6240 Per diem</t>
  </si>
  <si>
    <t>6250 Production Team</t>
  </si>
  <si>
    <t>6260 Stage Costs/Fixtures</t>
  </si>
  <si>
    <t>6270 Travel</t>
  </si>
  <si>
    <t>6280 Venue Rental</t>
  </si>
  <si>
    <t>6290 Videography/Photography</t>
  </si>
  <si>
    <t>Total 6200  Performance Expense</t>
  </si>
  <si>
    <t>6300  Teaching Expense</t>
  </si>
  <si>
    <t>6310 Contracted teachers</t>
  </si>
  <si>
    <t>6340 Supplies</t>
  </si>
  <si>
    <t>Total 6300  Teaching Expense</t>
  </si>
  <si>
    <t>6350 Professional Development</t>
  </si>
  <si>
    <t>6400  Program Development</t>
  </si>
  <si>
    <t>6410 Advertising and marketing</t>
  </si>
  <si>
    <t>6420 Lodging and meals</t>
  </si>
  <si>
    <t>6430 Conferences and meetings</t>
  </si>
  <si>
    <t>6440 Research</t>
  </si>
  <si>
    <t>6400  Program Development - Other</t>
  </si>
  <si>
    <t>Total 6400  Program Development</t>
  </si>
  <si>
    <t>6600  Facility Expense</t>
  </si>
  <si>
    <t>6620 Rent</t>
  </si>
  <si>
    <t>6222 Chi-Mac</t>
  </si>
  <si>
    <t>Total 6620 Rent</t>
  </si>
  <si>
    <t>6630 Repairs &amp; Maint.</t>
  </si>
  <si>
    <t>6640 Furniture &amp; Equip.-Office</t>
  </si>
  <si>
    <t>Total 6600  Facility Expense</t>
  </si>
  <si>
    <t>6700  General / Administrative</t>
  </si>
  <si>
    <t>6705 Accounting</t>
  </si>
  <si>
    <t>6710 Bookkeeping</t>
  </si>
  <si>
    <t>6715 Dues and subscriptions</t>
  </si>
  <si>
    <t>6716 Bank/Merchant Service Fees</t>
  </si>
  <si>
    <t>6720 Executive Director-Salary</t>
  </si>
  <si>
    <t>6725 Insurance</t>
  </si>
  <si>
    <t>6730 Meals and entertainment</t>
  </si>
  <si>
    <t>6735 Office Assistance</t>
  </si>
  <si>
    <t>6740 Office Supplies</t>
  </si>
  <si>
    <t>6741 Software</t>
  </si>
  <si>
    <t>6740 Office Supplies - Other</t>
  </si>
  <si>
    <t>Total 6740 Office Supplies</t>
  </si>
  <si>
    <t>6750 Payroll Service Expense</t>
  </si>
  <si>
    <t>6755 Payroll Taxes</t>
  </si>
  <si>
    <t>6760 Professional fees</t>
  </si>
  <si>
    <t>6761 Development Consultant</t>
  </si>
  <si>
    <t>6762 Booking Manager</t>
  </si>
  <si>
    <t>6763 Legal</t>
  </si>
  <si>
    <t>Total 6760 Professional fees</t>
  </si>
  <si>
    <t>6765 Telephone and internet</t>
  </si>
  <si>
    <t>6770 Utilities</t>
  </si>
  <si>
    <t>Total 6700  General / Administrative</t>
  </si>
  <si>
    <t>6800 Fundraising</t>
  </si>
  <si>
    <t>6800 Fundraising - Other</t>
  </si>
  <si>
    <t>Total 6800 Fundraising</t>
  </si>
  <si>
    <t>Total Expense</t>
  </si>
  <si>
    <t>Net Income</t>
  </si>
  <si>
    <t>2015</t>
  </si>
  <si>
    <t>6120 Residency travel</t>
  </si>
  <si>
    <t>Notes</t>
  </si>
  <si>
    <t>6610 Depreciation</t>
  </si>
  <si>
    <t>6810 Events</t>
  </si>
  <si>
    <t>Video artists Home Season, Documentation photo &amp; video</t>
  </si>
  <si>
    <t>6765 Other Consultants</t>
  </si>
  <si>
    <t>6820 Development Associate</t>
  </si>
  <si>
    <t>5750 Fundraising Events</t>
  </si>
  <si>
    <t>2016</t>
  </si>
  <si>
    <t>Phila Art Museum Art after 5 in Spring</t>
  </si>
  <si>
    <t>Annual audit.</t>
  </si>
  <si>
    <t>Kun-Yang Lin / Dancers</t>
  </si>
  <si>
    <t>China Tour Nov 2016</t>
  </si>
  <si>
    <t>13 travelers-- 10 dancers; AD;ED; Tech Dir</t>
  </si>
  <si>
    <t>Working Project Budget as of August 19, 2015</t>
  </si>
  <si>
    <t>Presentation Fees</t>
  </si>
  <si>
    <t xml:space="preserve">ADA Rapid Response Grant </t>
  </si>
  <si>
    <t>US Artists International Grant</t>
  </si>
  <si>
    <t>Tour Sponsors (including board)</t>
  </si>
  <si>
    <t>Expenses</t>
  </si>
  <si>
    <t>Agent</t>
  </si>
  <si>
    <t xml:space="preserve"> </t>
  </si>
  <si>
    <t>Dancer Performance Fees</t>
  </si>
  <si>
    <t>Costumes</t>
  </si>
  <si>
    <t xml:space="preserve">Music </t>
  </si>
  <si>
    <t>Cory Neale</t>
  </si>
  <si>
    <t>Ground Transport</t>
  </si>
  <si>
    <t>12x $114 PHL-EWR by train roundtrip; 2x Boston ground transpor $30t; 2x airport to trains sta r/t $200</t>
  </si>
  <si>
    <t>Visa-related exps</t>
  </si>
  <si>
    <t>Air travel</t>
  </si>
  <si>
    <t>Hotel</t>
  </si>
  <si>
    <t>7 rooms, 14 days, $100 per day</t>
  </si>
  <si>
    <t>Per diem (meals)</t>
  </si>
  <si>
    <t>15 full days @ $20 per day; 13 people</t>
  </si>
  <si>
    <t>Misc</t>
  </si>
  <si>
    <t>Total Expenses</t>
  </si>
  <si>
    <t>Kun-Yang Lin Dancers</t>
  </si>
  <si>
    <t>Prince - Home Season Show 2016</t>
  </si>
  <si>
    <t>Earned Income</t>
  </si>
  <si>
    <t>Ticket Sales</t>
  </si>
  <si>
    <t>(a)</t>
  </si>
  <si>
    <t>Program Advertising</t>
  </si>
  <si>
    <t>(b)</t>
  </si>
  <si>
    <t>Dinner</t>
  </si>
  <si>
    <t>(c)</t>
  </si>
  <si>
    <t>Post Show Reception</t>
  </si>
  <si>
    <t>(d)</t>
  </si>
  <si>
    <t xml:space="preserve">  Subtotal Earned Income</t>
  </si>
  <si>
    <t>Grants/Contributed Income</t>
  </si>
  <si>
    <t>Individual Sponsorship</t>
  </si>
  <si>
    <t>Corporate Sponsorship</t>
  </si>
  <si>
    <t>Program Stream</t>
  </si>
  <si>
    <t xml:space="preserve">  Subtotal Grants/Contributed Income</t>
  </si>
  <si>
    <t>Advertising (Program Inserts)</t>
  </si>
  <si>
    <t>Box Office Expenses</t>
  </si>
  <si>
    <t>Facebook</t>
  </si>
  <si>
    <t>Graphic Designer</t>
  </si>
  <si>
    <t>Performance Pay Dancers</t>
  </si>
  <si>
    <t>Photography at Show</t>
  </si>
  <si>
    <t>Photo Shoot in Fall</t>
  </si>
  <si>
    <t>Postage</t>
  </si>
  <si>
    <t>Printing (Postcards, Posters, and Bookmarks)</t>
  </si>
  <si>
    <t>Program Printing</t>
  </si>
  <si>
    <t>(e)</t>
  </si>
  <si>
    <t>Reception Beverages</t>
  </si>
  <si>
    <t>Venue Labor</t>
  </si>
  <si>
    <t>(f)</t>
  </si>
  <si>
    <t>Venue Rental</t>
  </si>
  <si>
    <t>Video Editing</t>
  </si>
  <si>
    <t>Videographer</t>
  </si>
  <si>
    <t>Allocation of Rehearsal Pay</t>
  </si>
  <si>
    <t>(g)</t>
  </si>
  <si>
    <t>Keene State College Tour Nov 2016</t>
  </si>
  <si>
    <t>Dec 2015 - April 15 2016</t>
  </si>
  <si>
    <t>August 2015 - October 2015</t>
  </si>
  <si>
    <t>per week, per dancers</t>
  </si>
  <si>
    <t>per week, per dancer</t>
  </si>
  <si>
    <t>dancers</t>
  </si>
  <si>
    <t>$300 box office set up charge</t>
  </si>
  <si>
    <t>$2.00 per ticket</t>
  </si>
  <si>
    <t>3.5% credit card sales</t>
  </si>
  <si>
    <t>(d) 25 tickets @ $50 each less show cost of $35 per ticket.</t>
  </si>
  <si>
    <t>(c) 50 tickets @ $95 each less show cost of $35 per ticket.</t>
  </si>
  <si>
    <t>average ticket price</t>
  </si>
  <si>
    <t>$20 seniors and students</t>
  </si>
  <si>
    <t>1 show</t>
  </si>
  <si>
    <t>$28 other seating</t>
  </si>
  <si>
    <t>3 shows</t>
  </si>
  <si>
    <t>$36 for premium seating</t>
  </si>
  <si>
    <t>Sales</t>
  </si>
  <si>
    <t>Percentage</t>
  </si>
  <si>
    <t>Proposed Prices:</t>
  </si>
  <si>
    <t>Expected</t>
  </si>
  <si>
    <t xml:space="preserve">Estimated </t>
  </si>
  <si>
    <t>Seats</t>
  </si>
  <si>
    <t>(a) Ticket sales assumes 65% of 3 shows and 50% of one show.  (2013 ratio was 75%, 2014 was 63% for 3 shows.) The theatre seats 440.</t>
  </si>
  <si>
    <t>Prince Notes:</t>
  </si>
  <si>
    <t>Prince 4 shows (65% of 3 shows &amp; 50% of one show) includes dinner &amp; reception, plus Inhale $1.5k</t>
  </si>
  <si>
    <t>3 cars @ $105 each for gas, $60 each for tolls = $165 per car+ Stephen $50</t>
  </si>
  <si>
    <t>2.5 full days @ $25 per day; 13 people</t>
  </si>
  <si>
    <t>Hotel (double rooms)</t>
  </si>
  <si>
    <t>Hotel (single room)</t>
  </si>
  <si>
    <t>Musician/Composer</t>
  </si>
  <si>
    <t>union contributions/Stephen</t>
  </si>
  <si>
    <t>Production Team - Lighting Designer/Stage Manager</t>
  </si>
  <si>
    <t>KYLD 2016 Budget</t>
  </si>
  <si>
    <t>Rehearsal Pay Computation</t>
  </si>
  <si>
    <t># of weeks</t>
  </si>
  <si>
    <t># of dancers</t>
  </si>
  <si>
    <t># hours per week</t>
  </si>
  <si>
    <t>hourly pay</t>
  </si>
  <si>
    <t>Total Rehearsal Pay</t>
  </si>
  <si>
    <t>(e) 10 dancers @ $500 each</t>
  </si>
  <si>
    <t>(h)</t>
  </si>
  <si>
    <t>6 double rooms, 2 days, $130 per day</t>
  </si>
  <si>
    <t>(i) Rehearsal Pay 25% Aug 2015 - Oct 2015/8 dancers, 75% Dec 2015 - April 15 2016/10 dancers:</t>
  </si>
  <si>
    <t>(i)</t>
  </si>
  <si>
    <t>Production Team -Tech Director</t>
  </si>
  <si>
    <t>Production Team - Tech Director</t>
  </si>
  <si>
    <t>Stage Costs - Gobos &amp; Marley Rental</t>
  </si>
  <si>
    <t>Travel</t>
  </si>
  <si>
    <t>Total Travel</t>
  </si>
  <si>
    <t>Office Assistance</t>
  </si>
  <si>
    <t>weeks</t>
  </si>
  <si>
    <t>hours per week</t>
  </si>
  <si>
    <t>Jessica Warchal-King</t>
  </si>
  <si>
    <t>hourly rate</t>
  </si>
  <si>
    <t>weekly</t>
  </si>
  <si>
    <t>Maggie Zhao</t>
  </si>
  <si>
    <t>Katie Moore</t>
  </si>
  <si>
    <t>Total Office Assistance</t>
  </si>
  <si>
    <t>Advertising &amp; Marketing</t>
  </si>
  <si>
    <t>Total Advertising &amp; Marketing</t>
  </si>
  <si>
    <t>Advertising &amp; Marketing materials</t>
  </si>
  <si>
    <t>Advertsing &amp; Marketing Materials</t>
  </si>
  <si>
    <t xml:space="preserve">Karyn Lyman - includes grantwriting </t>
  </si>
  <si>
    <t>Videography/Photography</t>
  </si>
  <si>
    <t>Total Venue Rental</t>
  </si>
  <si>
    <t>(f) $300 plus 3.5 percent of 95% of ticket sales, plus $2 per ticket</t>
  </si>
  <si>
    <t>(j)</t>
  </si>
  <si>
    <t>(j) Included in #6800 Fundraising-Other</t>
  </si>
  <si>
    <t>Fundraising Other - Envelopes</t>
  </si>
  <si>
    <t>Fundraising Events</t>
  </si>
  <si>
    <t>Total Fundraising Events</t>
  </si>
  <si>
    <t>(g) $25 per hour, 4 people, 45 hours</t>
  </si>
  <si>
    <t>(h) Programs for 90% of total audience (1,760* .90).</t>
  </si>
  <si>
    <t>(b) Based on 2014 plus 15%.</t>
  </si>
  <si>
    <t>HOME - NEA Shows 2016</t>
  </si>
  <si>
    <t>Stage Management</t>
  </si>
  <si>
    <t>Stage Costs - Equipment Rental (marley, sound system, dance floor)</t>
  </si>
  <si>
    <t>Videographer &amp; Editing</t>
  </si>
  <si>
    <t>Program Printing (Tri-Fold)</t>
  </si>
  <si>
    <t>Marketing &amp; Engagement Activities</t>
  </si>
  <si>
    <t>Community Engagement Liason/Blogger</t>
  </si>
  <si>
    <t>Development of Community Engagement Guides</t>
  </si>
  <si>
    <t>Printing (Postcards &amp; Community Engagement Guides)</t>
  </si>
  <si>
    <t>Teachers (Community Engagement)</t>
  </si>
  <si>
    <t>Insurance</t>
  </si>
  <si>
    <t>Graphic Design (Postcards &amp; Tri-Fold)</t>
  </si>
  <si>
    <t>Performances in Public Spaces (Pending)</t>
  </si>
  <si>
    <t>NEA Grant (Confirmed)</t>
  </si>
  <si>
    <t>Costume Alterations</t>
  </si>
  <si>
    <t>Labor</t>
  </si>
  <si>
    <t>Total Labor</t>
  </si>
  <si>
    <t>Total Videography/Photography</t>
  </si>
  <si>
    <t>Other Costs (transportation)</t>
  </si>
  <si>
    <t>(a) 7 dancers, 16 weeks, 4 hours per week, $12 per hour.</t>
  </si>
  <si>
    <t>(b) 7 dancers @ $250 each.</t>
  </si>
  <si>
    <t>(c) 5 schools, 2 sessions per school, 2 teachers per session * $50 each</t>
  </si>
  <si>
    <t>Philadelphia Cultural Fund (Allocation) (Prior Funder)</t>
  </si>
  <si>
    <t>PA Council on the Arts (Allocation) (Prior Funder)</t>
  </si>
  <si>
    <t>Austin, Texas HOME May 2016</t>
  </si>
  <si>
    <t>Includes HOME City Hall $1,000</t>
  </si>
  <si>
    <t>HOME City Hall $4k, Prince $1k</t>
  </si>
  <si>
    <t>Includes $600 for HOME City Hall</t>
  </si>
  <si>
    <t>6115 Rehearsal Director/Company Manager</t>
  </si>
  <si>
    <t>6722 Business Development Manager</t>
  </si>
  <si>
    <t>10 travelers</t>
  </si>
  <si>
    <t>2.5 full days @ $25 per day; 10 people</t>
  </si>
  <si>
    <t>in kind</t>
  </si>
  <si>
    <t>Composer HOME City Hall $500, Prince $2,000, Keene State $500, Austin, Texas $250</t>
  </si>
  <si>
    <t xml:space="preserve">HOME City Hall Stage mgmt $1,200, Prince $2,200 lighting/stage manager, Keene State Tech Directors 1,000, Austin, Texas $1,000 </t>
  </si>
  <si>
    <t>18 annual days, 6 avg hour  @ 75 per hour</t>
  </si>
  <si>
    <t xml:space="preserve">Commissions for Program Ad sales </t>
  </si>
  <si>
    <t>Commissions</t>
  </si>
  <si>
    <t>6723 Education Programming Associate</t>
  </si>
  <si>
    <t>Annual appeal and cultivation costs</t>
  </si>
  <si>
    <t>Visas</t>
  </si>
  <si>
    <t>Includes $60,000 matching donation</t>
  </si>
  <si>
    <t>No Huaxia teaching.</t>
  </si>
  <si>
    <t>PA Council $10k (Diverse Cultures), $2k (Program Stream), $2k (prof dev)] PCF $11k, Samuel Fels $3k, Performances in Public Spaces $2.5k</t>
  </si>
  <si>
    <t>FY 15</t>
  </si>
  <si>
    <t>Keene State College and Austin, Texas</t>
  </si>
  <si>
    <t>See ticket sales for Prince Dinner plus "You Be the Judge."</t>
  </si>
  <si>
    <t>"FY 15 Expected" is based on actuals through October 2015, estimated through year end.</t>
  </si>
  <si>
    <t>$550 per month</t>
  </si>
  <si>
    <t>2015 budget amount was a placeholder for Keene State</t>
  </si>
  <si>
    <t>* Goals and letters reference the Strategic Plan Budget (Appendix A to the Plan)</t>
  </si>
  <si>
    <t xml:space="preserve">Assumes PCA $15k, William Penn $30k (gen op, capacity building), $10k NEA for HOME, $1 Barra Micro Grant for Innovation. </t>
  </si>
  <si>
    <t>Net Ordinary Income/Loss</t>
  </si>
  <si>
    <t>Our goal is to maintain at least 4.5 months of operating reserves - $120,000 assumes approximately $319,000 in annual expenses or $26,600 per month.</t>
  </si>
  <si>
    <t>EARNED INCOME</t>
  </si>
  <si>
    <t>4920 Residency/Commission</t>
  </si>
  <si>
    <t>4950  Other Income - Ad Sales</t>
  </si>
  <si>
    <t>Total EARNED INCOME</t>
  </si>
  <si>
    <t>2016 Prince Program Ads</t>
  </si>
  <si>
    <t>In 2015, didn't receive 1st Person Arts Commission</t>
  </si>
  <si>
    <t>Goal 3 A2* Build major gifts and/or sponsorship program, Includes $7,500 Prince sponsorship</t>
  </si>
  <si>
    <t>Goal 3 A2* Build major gifts and/or sponsorship program</t>
  </si>
  <si>
    <t>CONTRIBUTED INCOME</t>
  </si>
  <si>
    <t>Total Direct Personal Donations</t>
  </si>
  <si>
    <t>Total CONTRIBUTED INCOME</t>
  </si>
  <si>
    <t>Goal 1 A1a* - Grow Artistic Director's salary</t>
  </si>
  <si>
    <t>Goal 1 A1c* - Hire Rehearsal Director - Maggie June - December</t>
  </si>
  <si>
    <t>Goal 1 A3* - Create and premiere one new work, A4 - Remount work from repertoire, HOME - City Hall $1,750, Prince $5,000, Keene State $3,500, Austin $2,800</t>
  </si>
  <si>
    <t xml:space="preserve">Goal 1 A2* Expand rehearsal time, 42 weeks, 9-10 dancers, $12 per hour, 12.5 hours per week </t>
  </si>
  <si>
    <t>Goal 3 B2a* Program Board/Staff interaction events, Board session with Consultant, Ron Evans</t>
  </si>
  <si>
    <t xml:space="preserve">Goal 2 A2* Promotional programs and activities, A4a - Increase marketing frequency, A4d - Graphic Designer/Brand Consultant, HOME City Hall $5.5k, Prince 8.35k,  New promotional video $3k Branding design 3.5k; Constant Contact 1.2k </t>
  </si>
  <si>
    <t xml:space="preserve">Goal 2 B1a* Attend and perform at national industry conferences, APAP; Dance USA Conference Austin, Texas, WAA Conference LA </t>
  </si>
  <si>
    <t>Goal 1 B1* Grow Executive Director's Salary 10% increase</t>
  </si>
  <si>
    <t>Goal 1 B2a* Hire marketing/development assistant, Katie full time starting June, 40 hrs per week * 31 weeks * $12 hr</t>
  </si>
  <si>
    <t>Goal 2 B4* Increase programming, 10 hrs * 26 wks* $12hr, 15 hrs*26 wks*$12hr</t>
  </si>
  <si>
    <t>Goal 1 B2a* Hire administrative assistant, Assumes 46 wks per year for Jess at $15ph x 10 pw; and Katie and Maggie at 50 and 100 per week, respectively through May</t>
  </si>
  <si>
    <t>Goal 2 B1b* work with booking manager</t>
  </si>
  <si>
    <t>Goal 3 A2* Build major gifts and/or sponshorship program, Prince, producer program benefits &amp; "You Be the Judge"</t>
  </si>
  <si>
    <t>2016 budgeted loss covered by large operating surplus in 2015 (and the resulting reserves)</t>
  </si>
  <si>
    <t>Total Direct Corp/Found Donations</t>
  </si>
  <si>
    <t>Goal 2 B1* - Increase domestic touring, Keene St College, NH (Redfern Arts Ctr), Austin, Texas</t>
  </si>
  <si>
    <t>Goal 2 B1*, Increase domestic touring</t>
  </si>
  <si>
    <t>Goal 1 A3* - Create and premiere one new work, A4 - Remount work from repertoire, Prince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</si>
</sst>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;\-#,##0"/>
  </numFmts>
  <fonts count="28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name val="Geneva"/>
    </font>
    <font>
      <sz val="14"/>
      <name val="Geneva"/>
    </font>
    <font>
      <b/>
      <sz val="24"/>
      <name val="Geneva"/>
    </font>
    <font>
      <sz val="14"/>
      <name val="Arial"/>
      <family val="2"/>
    </font>
    <font>
      <sz val="12"/>
      <name val="Geneva"/>
    </font>
    <font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i/>
      <sz val="16"/>
      <color theme="1"/>
      <name val="Times New Roman"/>
      <family val="1"/>
    </font>
    <font>
      <b/>
      <i/>
      <sz val="16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10">
    <xf numFmtId="0" fontId="0" fillId="0" borderId="0"/>
    <xf numFmtId="44" fontId="5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4" fillId="0" borderId="0" xfId="2" applyFont="1"/>
    <xf numFmtId="0" fontId="6" fillId="0" borderId="0" xfId="2"/>
    <xf numFmtId="0" fontId="11" fillId="0" borderId="0" xfId="2" applyFont="1"/>
    <xf numFmtId="0" fontId="4" fillId="0" borderId="0" xfId="2" applyFont="1" applyFill="1"/>
    <xf numFmtId="0" fontId="10" fillId="0" borderId="0" xfId="2" applyFont="1"/>
    <xf numFmtId="0" fontId="12" fillId="0" borderId="0" xfId="5"/>
    <xf numFmtId="165" fontId="0" fillId="0" borderId="0" xfId="6" applyNumberFormat="1" applyFont="1"/>
    <xf numFmtId="0" fontId="14" fillId="0" borderId="0" xfId="5" applyFont="1"/>
    <xf numFmtId="0" fontId="12" fillId="0" borderId="0" xfId="5" applyFont="1"/>
    <xf numFmtId="43" fontId="12" fillId="0" borderId="0" xfId="5" applyNumberFormat="1"/>
    <xf numFmtId="6" fontId="13" fillId="0" borderId="0" xfId="5" applyNumberFormat="1" applyFont="1"/>
    <xf numFmtId="6" fontId="12" fillId="0" borderId="0" xfId="5" applyNumberFormat="1"/>
    <xf numFmtId="9" fontId="0" fillId="0" borderId="0" xfId="7" applyFont="1"/>
    <xf numFmtId="164" fontId="13" fillId="0" borderId="0" xfId="8" applyNumberFormat="1" applyFont="1"/>
    <xf numFmtId="44" fontId="0" fillId="0" borderId="0" xfId="8" applyFont="1"/>
    <xf numFmtId="0" fontId="12" fillId="0" borderId="1" xfId="5" applyBorder="1"/>
    <xf numFmtId="0" fontId="15" fillId="0" borderId="0" xfId="5" applyFont="1"/>
    <xf numFmtId="0" fontId="16" fillId="0" borderId="0" xfId="5" applyFont="1"/>
    <xf numFmtId="165" fontId="2" fillId="0" borderId="0" xfId="6" applyNumberFormat="1" applyFont="1"/>
    <xf numFmtId="0" fontId="17" fillId="0" borderId="0" xfId="5" applyFont="1"/>
    <xf numFmtId="165" fontId="2" fillId="0" borderId="0" xfId="6" applyNumberFormat="1" applyFont="1" applyBorder="1"/>
    <xf numFmtId="165" fontId="2" fillId="0" borderId="1" xfId="6" applyNumberFormat="1" applyFont="1" applyBorder="1"/>
    <xf numFmtId="165" fontId="17" fillId="0" borderId="0" xfId="6" applyNumberFormat="1" applyFont="1"/>
    <xf numFmtId="165" fontId="15" fillId="0" borderId="0" xfId="6" applyNumberFormat="1" applyFont="1"/>
    <xf numFmtId="165" fontId="16" fillId="0" borderId="0" xfId="6" applyNumberFormat="1" applyFont="1" applyFill="1"/>
    <xf numFmtId="0" fontId="16" fillId="0" borderId="0" xfId="2" applyFont="1"/>
    <xf numFmtId="0" fontId="15" fillId="0" borderId="0" xfId="2" applyFont="1"/>
    <xf numFmtId="0" fontId="15" fillId="0" borderId="0" xfId="2" applyFont="1" applyBorder="1"/>
    <xf numFmtId="0" fontId="16" fillId="0" borderId="0" xfId="2" applyFont="1" applyBorder="1"/>
    <xf numFmtId="164" fontId="16" fillId="0" borderId="0" xfId="3" applyNumberFormat="1" applyFont="1" applyBorder="1"/>
    <xf numFmtId="44" fontId="15" fillId="0" borderId="0" xfId="3" applyNumberFormat="1" applyFont="1" applyBorder="1"/>
    <xf numFmtId="43" fontId="16" fillId="0" borderId="0" xfId="4" applyFont="1" applyBorder="1"/>
    <xf numFmtId="44" fontId="16" fillId="0" borderId="0" xfId="3" applyNumberFormat="1" applyFont="1" applyBorder="1"/>
    <xf numFmtId="0" fontId="16" fillId="0" borderId="0" xfId="2" applyFont="1" applyBorder="1" applyAlignment="1">
      <alignment horizontal="right"/>
    </xf>
    <xf numFmtId="0" fontId="16" fillId="0" borderId="0" xfId="2" applyFont="1" applyBorder="1" applyAlignment="1">
      <alignment horizontal="center"/>
    </xf>
    <xf numFmtId="44" fontId="16" fillId="0" borderId="0" xfId="2" applyNumberFormat="1" applyFont="1" applyBorder="1"/>
    <xf numFmtId="165" fontId="16" fillId="0" borderId="0" xfId="4" applyNumberFormat="1" applyFont="1" applyBorder="1" applyAlignment="1">
      <alignment horizontal="center"/>
    </xf>
    <xf numFmtId="165" fontId="16" fillId="0" borderId="0" xfId="4" applyNumberFormat="1" applyFont="1" applyBorder="1"/>
    <xf numFmtId="44" fontId="16" fillId="0" borderId="0" xfId="2" applyNumberFormat="1" applyFont="1"/>
    <xf numFmtId="8" fontId="16" fillId="0" borderId="0" xfId="3" applyNumberFormat="1" applyFont="1" applyBorder="1"/>
    <xf numFmtId="0" fontId="16" fillId="0" borderId="0" xfId="2" applyFont="1" applyFill="1"/>
    <xf numFmtId="44" fontId="15" fillId="0" borderId="0" xfId="2" applyNumberFormat="1" applyFont="1" applyBorder="1"/>
    <xf numFmtId="44" fontId="16" fillId="0" borderId="1" xfId="3" applyNumberFormat="1" applyFont="1" applyBorder="1"/>
    <xf numFmtId="8" fontId="15" fillId="0" borderId="0" xfId="3" applyNumberFormat="1" applyFont="1" applyBorder="1"/>
    <xf numFmtId="44" fontId="0" fillId="0" borderId="0" xfId="1" applyFont="1"/>
    <xf numFmtId="0" fontId="3" fillId="0" borderId="0" xfId="0" applyFont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0" fontId="17" fillId="0" borderId="0" xfId="2" applyFont="1" applyBorder="1"/>
    <xf numFmtId="44" fontId="17" fillId="0" borderId="0" xfId="3" applyNumberFormat="1" applyFont="1" applyBorder="1"/>
    <xf numFmtId="43" fontId="0" fillId="0" borderId="0" xfId="9" applyFont="1"/>
    <xf numFmtId="165" fontId="18" fillId="0" borderId="0" xfId="6" applyNumberFormat="1" applyFont="1"/>
    <xf numFmtId="165" fontId="18" fillId="0" borderId="0" xfId="6" applyNumberFormat="1" applyFont="1" applyBorder="1"/>
    <xf numFmtId="165" fontId="2" fillId="0" borderId="0" xfId="6" applyNumberFormat="1" applyFont="1" applyFill="1"/>
    <xf numFmtId="43" fontId="12" fillId="0" borderId="0" xfId="9" applyFont="1"/>
    <xf numFmtId="165" fontId="19" fillId="0" borderId="0" xfId="6" applyNumberFormat="1" applyFont="1"/>
    <xf numFmtId="0" fontId="26" fillId="0" borderId="0" xfId="0" applyFont="1" applyFill="1" applyBorder="1" applyAlignment="1">
      <alignment vertical="top" wrapText="1"/>
    </xf>
    <xf numFmtId="0" fontId="26" fillId="2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166" fontId="25" fillId="2" borderId="0" xfId="0" applyNumberFormat="1" applyFont="1" applyFill="1" applyBorder="1" applyAlignment="1">
      <alignment vertical="top"/>
    </xf>
    <xf numFmtId="166" fontId="25" fillId="0" borderId="0" xfId="0" applyNumberFormat="1" applyFont="1" applyFill="1" applyBorder="1" applyAlignment="1">
      <alignment vertical="top"/>
    </xf>
    <xf numFmtId="166" fontId="24" fillId="0" borderId="3" xfId="0" applyNumberFormat="1" applyFont="1" applyFill="1" applyBorder="1" applyAlignment="1">
      <alignment vertical="top"/>
    </xf>
    <xf numFmtId="166" fontId="22" fillId="0" borderId="0" xfId="0" applyNumberFormat="1" applyFont="1" applyFill="1" applyBorder="1" applyAlignment="1">
      <alignment horizontal="centerContinuous" vertical="top"/>
    </xf>
    <xf numFmtId="166" fontId="23" fillId="0" borderId="0" xfId="0" applyNumberFormat="1" applyFont="1" applyFill="1" applyBorder="1" applyAlignment="1">
      <alignment horizontal="centerContinuous" vertical="top"/>
    </xf>
    <xf numFmtId="0" fontId="21" fillId="0" borderId="0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/>
    </xf>
    <xf numFmtId="166" fontId="22" fillId="0" borderId="0" xfId="0" applyNumberFormat="1" applyFont="1" applyFill="1" applyBorder="1" applyAlignment="1">
      <alignment horizontal="center" vertical="top"/>
    </xf>
    <xf numFmtId="49" fontId="24" fillId="0" borderId="0" xfId="0" applyNumberFormat="1" applyFont="1" applyFill="1" applyBorder="1" applyAlignment="1">
      <alignment horizontal="center" vertical="top"/>
    </xf>
    <xf numFmtId="166" fontId="24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49" fontId="24" fillId="0" borderId="1" xfId="0" applyNumberFormat="1" applyFont="1" applyFill="1" applyBorder="1" applyAlignment="1">
      <alignment vertical="top"/>
    </xf>
    <xf numFmtId="166" fontId="25" fillId="0" borderId="1" xfId="0" applyNumberFormat="1" applyFont="1" applyFill="1" applyBorder="1" applyAlignment="1">
      <alignment vertical="top"/>
    </xf>
    <xf numFmtId="49" fontId="24" fillId="0" borderId="3" xfId="0" applyNumberFormat="1" applyFont="1" applyFill="1" applyBorder="1" applyAlignment="1">
      <alignment vertical="top"/>
    </xf>
    <xf numFmtId="0" fontId="23" fillId="0" borderId="3" xfId="0" applyFont="1" applyFill="1" applyBorder="1" applyAlignment="1">
      <alignment vertical="top"/>
    </xf>
    <xf numFmtId="49" fontId="24" fillId="0" borderId="4" xfId="0" applyNumberFormat="1" applyFont="1" applyFill="1" applyBorder="1" applyAlignment="1">
      <alignment vertical="top"/>
    </xf>
    <xf numFmtId="166" fontId="24" fillId="0" borderId="4" xfId="0" applyNumberFormat="1" applyFont="1" applyFill="1" applyBorder="1" applyAlignment="1">
      <alignment vertical="top"/>
    </xf>
    <xf numFmtId="0" fontId="23" fillId="0" borderId="4" xfId="0" applyFont="1" applyFill="1" applyBorder="1" applyAlignment="1">
      <alignment vertical="top"/>
    </xf>
    <xf numFmtId="166" fontId="24" fillId="0" borderId="0" xfId="0" applyNumberFormat="1" applyFont="1" applyFill="1" applyBorder="1" applyAlignment="1">
      <alignment vertical="top"/>
    </xf>
    <xf numFmtId="0" fontId="26" fillId="0" borderId="3" xfId="0" applyFont="1" applyFill="1" applyBorder="1" applyAlignment="1">
      <alignment vertical="top" wrapText="1"/>
    </xf>
    <xf numFmtId="166" fontId="25" fillId="0" borderId="3" xfId="0" applyNumberFormat="1" applyFont="1" applyFill="1" applyBorder="1" applyAlignment="1">
      <alignment vertical="top"/>
    </xf>
    <xf numFmtId="49" fontId="24" fillId="0" borderId="6" xfId="0" applyNumberFormat="1" applyFont="1" applyFill="1" applyBorder="1" applyAlignment="1">
      <alignment vertical="top"/>
    </xf>
    <xf numFmtId="166" fontId="24" fillId="0" borderId="6" xfId="0" applyNumberFormat="1" applyFont="1" applyFill="1" applyBorder="1" applyAlignment="1">
      <alignment vertical="top"/>
    </xf>
    <xf numFmtId="0" fontId="23" fillId="0" borderId="6" xfId="0" applyFont="1" applyFill="1" applyBorder="1" applyAlignment="1">
      <alignment vertical="top"/>
    </xf>
    <xf numFmtId="49" fontId="1" fillId="0" borderId="7" xfId="0" applyNumberFormat="1" applyFont="1" applyFill="1" applyBorder="1" applyAlignment="1">
      <alignment vertical="top"/>
    </xf>
    <xf numFmtId="166" fontId="1" fillId="0" borderId="7" xfId="0" applyNumberFormat="1" applyFont="1" applyFill="1" applyBorder="1" applyAlignment="1">
      <alignment vertical="top"/>
    </xf>
    <xf numFmtId="0" fontId="23" fillId="0" borderId="7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4" fontId="21" fillId="0" borderId="0" xfId="0" applyNumberFormat="1" applyFont="1" applyFill="1" applyBorder="1" applyAlignment="1">
      <alignment vertical="top"/>
    </xf>
    <xf numFmtId="49" fontId="24" fillId="0" borderId="5" xfId="0" applyNumberFormat="1" applyFont="1" applyFill="1" applyBorder="1" applyAlignment="1">
      <alignment vertical="top"/>
    </xf>
    <xf numFmtId="166" fontId="24" fillId="0" borderId="5" xfId="0" applyNumberFormat="1" applyFont="1" applyFill="1" applyBorder="1" applyAlignment="1">
      <alignment vertical="top"/>
    </xf>
    <xf numFmtId="0" fontId="23" fillId="0" borderId="5" xfId="0" applyFont="1" applyFill="1" applyBorder="1" applyAlignment="1">
      <alignment vertical="top"/>
    </xf>
    <xf numFmtId="49" fontId="24" fillId="0" borderId="2" xfId="0" applyNumberFormat="1" applyFont="1" applyFill="1" applyBorder="1" applyAlignment="1">
      <alignment vertical="top"/>
    </xf>
    <xf numFmtId="166" fontId="25" fillId="0" borderId="2" xfId="0" applyNumberFormat="1" applyFont="1" applyFill="1" applyBorder="1" applyAlignment="1">
      <alignment vertical="top"/>
    </xf>
    <xf numFmtId="0" fontId="23" fillId="0" borderId="2" xfId="0" applyFon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/>
    </xf>
    <xf numFmtId="166" fontId="1" fillId="0" borderId="3" xfId="0" applyNumberFormat="1" applyFont="1" applyFill="1" applyBorder="1" applyAlignment="1">
      <alignment vertical="top"/>
    </xf>
    <xf numFmtId="0" fontId="23" fillId="0" borderId="7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left" vertical="top"/>
    </xf>
    <xf numFmtId="0" fontId="27" fillId="0" borderId="0" xfId="0" applyNumberFormat="1" applyFont="1" applyFill="1" applyBorder="1" applyAlignment="1">
      <alignment horizontal="centerContinuous" vertical="top"/>
    </xf>
    <xf numFmtId="166" fontId="21" fillId="0" borderId="0" xfId="0" applyNumberFormat="1" applyFont="1" applyFill="1" applyBorder="1" applyAlignment="1">
      <alignment horizontal="centerContinuous" vertical="top"/>
    </xf>
    <xf numFmtId="0" fontId="23" fillId="0" borderId="0" xfId="0" applyFont="1" applyFill="1" applyBorder="1" applyAlignment="1">
      <alignment horizontal="centerContinuous" vertical="top"/>
    </xf>
    <xf numFmtId="0" fontId="27" fillId="0" borderId="0" xfId="0" applyNumberFormat="1" applyFont="1" applyFill="1" applyBorder="1" applyAlignment="1">
      <alignment vertical="top"/>
    </xf>
    <xf numFmtId="166" fontId="21" fillId="0" borderId="0" xfId="0" applyNumberFormat="1" applyFont="1" applyFill="1" applyBorder="1" applyAlignment="1">
      <alignment vertical="top"/>
    </xf>
    <xf numFmtId="166" fontId="25" fillId="2" borderId="1" xfId="0" applyNumberFormat="1" applyFont="1" applyFill="1" applyBorder="1" applyAlignment="1">
      <alignment vertical="top"/>
    </xf>
    <xf numFmtId="0" fontId="26" fillId="2" borderId="1" xfId="0" applyFont="1" applyFill="1" applyBorder="1" applyAlignment="1">
      <alignment vertical="top" wrapText="1"/>
    </xf>
    <xf numFmtId="0" fontId="23" fillId="2" borderId="0" xfId="0" applyFont="1" applyFill="1" applyBorder="1" applyAlignment="1">
      <alignment vertical="top"/>
    </xf>
    <xf numFmtId="49" fontId="20" fillId="0" borderId="0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</cellXfs>
  <cellStyles count="10">
    <cellStyle name="Comma" xfId="9" builtinId="3"/>
    <cellStyle name="Comma 2" xfId="4"/>
    <cellStyle name="Comma 3" xfId="6"/>
    <cellStyle name="Currency" xfId="1" builtinId="4"/>
    <cellStyle name="Currency 2" xfId="3"/>
    <cellStyle name="Currency 3" xfId="8"/>
    <cellStyle name="Normal" xfId="0" builtinId="0"/>
    <cellStyle name="Normal 2" xfId="2"/>
    <cellStyle name="Normal 3" xf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CxFlByb2ZpdCAmIExvc3MgQnVkZ2V0IHZzLiBBY3R1YWwAAAAAAAAAAAAAAAAAAAAAAAAAAAAAAAAAAAAAAAAAAAAAAAAAAAAAAAAAAAAAAAAAIAEAAAAAAAAAAAAAAABEVwEAMgALAAEAAAAAAAgAAQANAQEB3gcfCt4HAAABAAAAAAAAAAAAAAAAAAAAAAEAAAAAAAAArERXBQByBgH/AAAAAAAAAAAAAAAAAAAAAAAAAAAAAAAAAAAAAAAAAAAAAAAAAAAAAAAAAAAAAAAAAAAAAAAAAAAAAAAAAAAAAAAAAAAAAAAAAAAAAAAAAAAAAAAAAAAAAAAAAAAAAAAAAAAAAAAAAAAAAAAAAAAAAAAAAAAAAAAAAAAAAAAAAAAAAAAAAAAAAAAAAAAAAAAAAAAAAAAAAAAAAAAAAAAAAAAAAAAAAPj/vAJBcmlhbAAAAAAAAAAAAAAAAAAAAAAAAAAAAAAAAAAAAAAAAAAAAAAAABAAAAAAAAAQAPj/vAJBcmlhbAAAAAAAAAAAAAAAAAAAAAAAAAAAAAAAAAAAAAAAAAAAAAAAABAAAAAAAAAQAPj/kAFBcmlhbAAAAAAAAAAAAAAAAAAAAAAAAAAAAAAAAAAAAAAAAAAAAAAAABAAAAAAAAAQAPj/vAJBcmlhbAAAAAAAAAAAAAAAAAAAAAAAAAAAAAAAAAAAAAAAAAAAAAAAABAAAAAAAAAQAPT/vAJBcmlhbAAAAAAAAAAAAAAAAAAAAAAAAAAAAAAAAAAAAAAAAAAAAAAAABAAAAAAAIAQAPL/vAJBcmlhbAAAAAAAAAAAAAAAAAAAAAAAAAAAAAAAAAAAAAAAAAAAAAAAABAAAAAAAIAQAPb/vAJBcmlhbAAAAAAAAAAAAAAAAAAAAAAAAAAAAAAAAAAAAAAAAAAAAAAAABAAAAAAAIAQAPj/vAJBcmlhbAAAAAAAAAAAAAAAAAAAAAAAAAAAAAAAAAAAAAAAAAAAAAAAABAAAAAAAIAQAPj/vAJBcmlhbAAAAAAAAAAAAAAAAAAAAAAAAAAAAAAAAAAAAAAAAAAAAAAAABAAAAAAAIAQAPj/kAFBcmlhbAAAAAAAAAAAAAAAAAAAAAAAAAAAAAAAAAAAAAAAAAAAAAAAABAAAAAAA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A+P+8AkFyaWFsAAAAAAAAAAAAAAAAAAAAAAAAAAAAAAAAAAAAAAAAAAAAAAAAEAAAAAAAgBAAAQD4/7wCQXJpYWwAAAAAAAAAAAAAAAAAAAAAAAAAAAAAAAAAAAAAAAAAAAAAAAAQAAAAAACAEAAAAAAAAAAAAAAAAAAAAAAAAAAAAAAAAAAAAAAAAAAAAAAAAAAAAAAAAAAAAAAAAAAAAAAAAAAAAAAAAAAAAAAAAAAAAAAAAAAAAAAAAAAAAAAAAAAAAAAAAAAAAAAAAAAAAAAAAAAAAAAAAAAAAAAAAAAAAAAAAAAAAAAAAAAAAERXEgBCATAwMDAwMDAwMDAwMDAwMDAwMDAwMDAwMDAwMDAwMDAwMDAwMDAwAAAAAAAAAAAAAAAAAAAAAAAAAAAAAAAAAAAAAAAAAAAAAAAAAAAAAAAAAAAAAAAAAAAAAAAAAAAAAAAAAAAAAAAAAAAAAAAAAAAAAAAAAAAAAAAAAAAAAAAOADD/////cNPyBgAAAAAAAAAAAAAAAAAAAAAAANDqGADAOzcfySyTd8A7Nx8AAAAAABAAAL0qzGUAEAAAABAAAHAAAAAA5DxmQAMAAAAAAAAAAAAAAAAAAJjsGAAAAAAAAAAAAFDtGADEmf0WAAAAAAUAAAAEAAAA+NgYAAAAAAAAAAAAAAAAAAAAAACIRiJ3AgAAAAAAAADDP8xlI0DMZUEr3F3AOzcfAKxUAAAQAAAAEAAAaKwAAAADAAAAIwAAAxBEVxQACAAAAAAAAAAAAERXGgAMAAABAAAAAAAAAAAAAERXHgACAAAARFcIADIAMgAUAAAAAAAAAAQAAAAAAAAAAAAAAAAAAAAAAAAAAAAAAAAAAAAAAAAAAAAAAAAAAABEVwkAMgAyAAAAAAAAAAAABAAAAAAAAAAAAAAAAAAAAAAAAAAAAAAAAAAAAAAAAAAAAAAAAAAAAERXCgAyADIAAAAAAAAAAAAEAAAAAAAAAAAAAAAAAAAAAAAAAAAAAAAAAAAAAAAAAAAAAAAAAAAARFcLADIAMgAAAAAAAAAAAAQAAAAAAAAAAAAAAAAAAAAAAAAAAAAAAAAAAAAAAAAAAAAAAAAAAABEVwwAMgAyAAAAAAAAAAAABAAAAAAAAAAAAAAAAAAAAAAAAAAAAAAAAAAAAAAAAAAAAAAAAAAAAERXDQAyADIAAAAAAAAAAAAEAAAAAAAAAAAAAAAAAAAAAAAAAAAAAAAAAAAAAAAAAAAAAAAAAAAARFcOADIAMgAAAAAAAAAAAAQAAAAAAAAAAAAAAAAAAAAAAAAAAAAAAAAAAAAAAAAAAAAAAAAAAABEVyoAMgAyAAAAAAAAAAAABAAAAAAAAAAAAAAAAAAAAAAAAAAAAAAAAAAAAAAAAAAAAAAAAAAAAERXKwAyADIAAAAAAAAAAAAEAAAAAAAAAAAAAAAAAAAAAAAAAAAAAAAAAAAAAAAAAAAAAAAAAAAARFcsADIAMgAAAAAAAAAAAAQAAAAAAAAAAAAAAAAAAAAAAAAAAAAAAAAAAAAAAAAAAAAAAAAAAABEV0EAMgAyAAAAAAAAAAAABAAAAAAAAAAAAAAAAAAAAAAAAAAAAAAAAAAAAAAAAAAAAAAAAAAAAERXFwAyADIAAAAAAAAAAAAEAAAAAAAAAAAAAAAAAAAAAAAAAAAAAAAAAAAAAAAAAAAAAAAAAAAARFc9ADIAMgAAAAAAAAAAAAQAAAAAAAAAAAAAAAAAAAAAAAAAAAAAAAAAAAAAAAAAAAAAAAAAAABEVykAMgAyAAAAAAAAAAAABAAAAAAAAAAAAAAAAAAAAAAAAAAAAAAAAAAAAAAAAAAAAAAAAAAAAERXSAAyADIAAAAAAAAAAAAEAAAAAAAAAAAAAAAAAAAAAAAAAAAAAAAAAAAAAAAAAAAAAAAAAAAARFdKADIAMgAAAAAAAAAAAAQAAAAAAAAAAAAAAAAAAAAAAAAAAAAAAAAAAAAAAAAAAAAAAAAAAABEV0sAMgAyAAAAAAAAAAAABAAAAAAAAAAAAAAAAAAAAAAAAAAAAAAAAAAAAAAAAAAAAAAAAAAAAERXVAAyADIAAAAAAAAAAAAEAAAAAAAAAAAAAAAAAAAAAAAAAAAAAAAAAAAAAAAAAAAAAAAAAAAARFdVADIAMgAAAAAAAAAAAAQAAAAAAAAAAAAAAAAAAAAAAAAAAAAAAAAAAAAAAAAAAAAAAAAAAABEV1YAMgAyAAAAAAAAAAAABAAAAAAAAAAAAAAAAAAAAAAAAAAAAAAAAAAAAAAAAAAAAAAAAAAAAERXVwAyADIAAAAAAAAAAAAEAAAAAAAAAAAAAAAAAAAAAAAAAAAAAAAAAAAAAAAAAAAAAAAAAAAARFdYADIAMgAAAAAAAAAAAAQAAAAAAAAAAAAAAAAAAAAAAAAAAAAAAAAAAAAAAAAAAAAAAAAAAABEV2QAMgAyAAAAAAAAAAAABAAAAAAAAAAAAAAAAAAAAAAAAAAAAAAAAAAAAAAAAAAAAAAAAAAAAERXaAAyADIAAAAAAAAAAAAEAAAAAAAAAAAAAAAAAAAAAAAAAAAAAAAAAAAAAAAAAAAAAAAAAAAARFchAAQAAAAAAERXIgACAAIARFcjAHcF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ERXJAACAAAARFcmAAIAAABEVycABAACfd4mRFcoAAoAAAAAAAAAAAAAAERXMQACAAAARFcyAAIAAABEVzMAAgAAAERXNAAKAAAAAAAAAAAAAABEVzUACgAAAQAAAAAAAAAARFc2AAIAAABEVzcAFQAAAAAAAAAAAAAAAAAAAAAAAAAAAABEVzgAAQAARFc5AAEAAERXOgABAABEVzsAAQAARFc8AAIAAABEVz4ABgAAAAEAAABEVz8AAQAARFdAAAEAAERXQgAEAAAAAABEV0YABAAAAAAARFdHAFU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EV0kAAwAAAABEV0wACAAAAAAAAAAAAERXTQACAAAARFdOAAEAAERXTwAEAEByAABEV1AAAQAARFdRAAAARFdSACoAAAAAAAAAAAAAAAAAAAAAAAAAAAAAAAAAAAAAAAAAAAAAAAAAAAAAAAAARFdTAAYAAAAAAAAARFdZAAQAAAAAAERXYAABAABEV2EABAAAAAAARFdiAAEAAERXYwAKADD/////cNPyBgNEV2UAAQAARFdmAAEAAERXZwABAABEV2oAFAAAAAAAAAAAAAAAAAAAAAAAAAAAAERXawAwAAAAAAAAAAAAAAAAAAAAAAAAAAAAAAAAAAAAAAAAAAAAAAAAAAAAAAAAAAAAAAAAAERXbAADAAAAAERXbQACAAAARFduAAEAAERXAAAAAA==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PropertyBag">
  <ax:ocxPr ax:name="VariousPropertyBits" ax:value="2895136795"/>
  <ax:ocxPr ax:name="Size" ax:value="2540;635"/>
  <ax:ocxPr ax:name="Value" ax:value="AQAAAAkFASAAAAAAAAAAAAAAAAABAAAA"/>
  <ax:ocxPr ax:name="FontName" ax:value="Arial"/>
  <ax:ocxPr ax:name="FontEffects" ax:value="1073741825"/>
  <ax:ocxPr ax:name="FontHeight" ax:value="180"/>
  <ax:ocxPr ax:name="FontCharSet" ax:value="0"/>
  <ax:ocxPr ax:name="FontPitchAndFamily" ax:value="2"/>
  <ax:ocxPr ax:name="FontWeight" ax:value="700"/>
</ax:ocx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13"/>
  <sheetViews>
    <sheetView showGridLines="0" tabSelected="1" workbookViewId="0">
      <pane xSplit="4" ySplit="5" topLeftCell="E6" activePane="bottomRight" state="frozenSplit"/>
      <selection pane="topRight" activeCell="G1" sqref="G1"/>
      <selection pane="bottomLeft" activeCell="A3" sqref="A3"/>
      <selection pane="bottomRight" activeCell="H54" sqref="H54"/>
    </sheetView>
  </sheetViews>
  <sheetFormatPr defaultRowHeight="15.75"/>
  <cols>
    <col min="1" max="3" width="3" style="110" customWidth="1"/>
    <col min="4" max="4" width="30.42578125" style="110" bestFit="1" customWidth="1"/>
    <col min="5" max="7" width="12" style="111" customWidth="1"/>
    <col min="8" max="8" width="61.7109375" style="65" customWidth="1"/>
    <col min="9" max="16384" width="9.140625" style="71"/>
  </cols>
  <sheetData>
    <row r="1" spans="1:8">
      <c r="A1" s="115" t="s">
        <v>281</v>
      </c>
      <c r="B1" s="116"/>
      <c r="C1" s="116"/>
      <c r="D1" s="116"/>
      <c r="E1" s="69"/>
      <c r="F1" s="70"/>
      <c r="G1" s="69"/>
      <c r="H1" s="117" t="s">
        <v>287</v>
      </c>
    </row>
    <row r="2" spans="1:8">
      <c r="A2" s="116"/>
      <c r="B2" s="116"/>
      <c r="C2" s="116"/>
      <c r="D2" s="116"/>
      <c r="E2" s="69"/>
      <c r="F2" s="70"/>
      <c r="G2" s="69"/>
      <c r="H2" s="117"/>
    </row>
    <row r="3" spans="1:8">
      <c r="A3" s="72"/>
      <c r="B3" s="72"/>
      <c r="C3" s="72"/>
      <c r="D3" s="72"/>
      <c r="E3" s="69"/>
      <c r="F3" s="70"/>
      <c r="G3" s="69"/>
      <c r="H3" s="118"/>
    </row>
    <row r="4" spans="1:8">
      <c r="A4" s="64"/>
      <c r="B4" s="64"/>
      <c r="C4" s="64"/>
      <c r="D4" s="64"/>
      <c r="E4" s="69" t="s">
        <v>86</v>
      </c>
      <c r="F4" s="73" t="s">
        <v>278</v>
      </c>
      <c r="G4" s="69" t="s">
        <v>95</v>
      </c>
    </row>
    <row r="5" spans="1:8" s="77" customFormat="1">
      <c r="A5" s="74"/>
      <c r="B5" s="74"/>
      <c r="C5" s="74"/>
      <c r="D5" s="74"/>
      <c r="E5" s="75" t="s">
        <v>0</v>
      </c>
      <c r="F5" s="75" t="s">
        <v>179</v>
      </c>
      <c r="G5" s="75" t="s">
        <v>0</v>
      </c>
      <c r="H5" s="76" t="s">
        <v>88</v>
      </c>
    </row>
    <row r="6" spans="1:8" ht="18.75">
      <c r="A6" s="78" t="s">
        <v>1</v>
      </c>
      <c r="B6" s="64"/>
      <c r="C6" s="64"/>
      <c r="D6" s="64"/>
      <c r="E6" s="67"/>
      <c r="F6" s="67"/>
      <c r="G6" s="67"/>
    </row>
    <row r="7" spans="1:8">
      <c r="A7" s="64"/>
      <c r="B7" s="64" t="s">
        <v>288</v>
      </c>
      <c r="C7" s="64"/>
      <c r="D7" s="64"/>
      <c r="E7" s="67"/>
      <c r="F7" s="67"/>
      <c r="G7" s="67"/>
    </row>
    <row r="8" spans="1:8">
      <c r="A8" s="64"/>
      <c r="B8" s="64" t="s">
        <v>2</v>
      </c>
      <c r="C8" s="64"/>
      <c r="D8" s="64"/>
      <c r="E8" s="67"/>
      <c r="F8" s="67"/>
      <c r="G8" s="67"/>
    </row>
    <row r="9" spans="1:8" ht="31.5">
      <c r="A9" s="64"/>
      <c r="B9" s="79"/>
      <c r="C9" s="79" t="s">
        <v>3</v>
      </c>
      <c r="D9" s="79"/>
      <c r="E9" s="80">
        <f>5625+14000+1500</f>
        <v>21125</v>
      </c>
      <c r="F9" s="80">
        <f>14125-750</f>
        <v>13375</v>
      </c>
      <c r="G9" s="112">
        <f>'Prince 2016'!C7+'Prince 2016'!C9+'Prince 2016'!C10+1500</f>
        <v>27782.5</v>
      </c>
      <c r="H9" s="113" t="s">
        <v>184</v>
      </c>
    </row>
    <row r="10" spans="1:8" ht="16.5" thickBot="1">
      <c r="A10" s="64"/>
      <c r="B10" s="81" t="s">
        <v>4</v>
      </c>
      <c r="C10" s="81"/>
      <c r="D10" s="81"/>
      <c r="E10" s="68">
        <f>ROUND(SUM(E8:E9),5)</f>
        <v>21125</v>
      </c>
      <c r="F10" s="68">
        <f>ROUND(SUM(F8:F9),5)</f>
        <v>13375</v>
      </c>
      <c r="G10" s="68">
        <f>ROUND(SUM(G8:G9),5)</f>
        <v>27782.5</v>
      </c>
      <c r="H10" s="82"/>
    </row>
    <row r="11" spans="1:8" ht="30" customHeight="1">
      <c r="A11" s="64"/>
      <c r="B11" s="64" t="s">
        <v>5</v>
      </c>
      <c r="C11" s="64"/>
      <c r="D11" s="64"/>
      <c r="E11" s="67"/>
      <c r="F11" s="67"/>
      <c r="G11" s="67"/>
    </row>
    <row r="12" spans="1:8">
      <c r="A12" s="64"/>
      <c r="B12" s="64"/>
      <c r="C12" s="64" t="s">
        <v>6</v>
      </c>
      <c r="D12" s="64"/>
      <c r="E12" s="67">
        <v>2500</v>
      </c>
      <c r="F12" s="67">
        <v>2500</v>
      </c>
      <c r="G12" s="67">
        <v>2500</v>
      </c>
      <c r="H12" s="62" t="s">
        <v>96</v>
      </c>
    </row>
    <row r="13" spans="1:8" ht="31.5">
      <c r="A13" s="64"/>
      <c r="B13" s="64"/>
      <c r="C13" s="64" t="s">
        <v>7</v>
      </c>
      <c r="D13" s="64"/>
      <c r="E13" s="67">
        <v>8000</v>
      </c>
      <c r="F13" s="67">
        <v>8000</v>
      </c>
      <c r="G13" s="67">
        <f>'Keene State College Tour 2016'!D10+'Austin, Texas HOME'!D7</f>
        <v>11500</v>
      </c>
      <c r="H13" s="62" t="s">
        <v>314</v>
      </c>
    </row>
    <row r="14" spans="1:8" ht="16.5" thickBot="1">
      <c r="A14" s="64"/>
      <c r="B14" s="81" t="s">
        <v>8</v>
      </c>
      <c r="C14" s="81"/>
      <c r="D14" s="81"/>
      <c r="E14" s="68">
        <f>ROUND(SUM(E11:E13),5)</f>
        <v>10500</v>
      </c>
      <c r="F14" s="68">
        <f>ROUND(SUM(F11:F13),5)</f>
        <v>10500</v>
      </c>
      <c r="G14" s="68">
        <f>ROUND(SUM(G11:G13),5)</f>
        <v>14000</v>
      </c>
      <c r="H14" s="82"/>
    </row>
    <row r="15" spans="1:8" ht="42.75" customHeight="1">
      <c r="A15" s="64"/>
      <c r="B15" s="64" t="s">
        <v>9</v>
      </c>
      <c r="C15" s="64"/>
      <c r="D15" s="64"/>
      <c r="E15" s="67">
        <v>1100</v>
      </c>
      <c r="F15" s="67">
        <v>600</v>
      </c>
      <c r="G15" s="67">
        <v>1100</v>
      </c>
      <c r="H15" s="62"/>
    </row>
    <row r="16" spans="1:8">
      <c r="A16" s="64"/>
      <c r="B16" s="64" t="s">
        <v>10</v>
      </c>
      <c r="C16" s="64"/>
      <c r="D16" s="64"/>
      <c r="E16" s="67">
        <v>7500</v>
      </c>
      <c r="F16" s="67">
        <v>7500</v>
      </c>
      <c r="G16" s="67">
        <v>3500</v>
      </c>
      <c r="H16" s="62" t="s">
        <v>276</v>
      </c>
    </row>
    <row r="17" spans="1:8">
      <c r="A17" s="64"/>
      <c r="B17" s="64" t="s">
        <v>11</v>
      </c>
      <c r="C17" s="64"/>
      <c r="D17" s="64"/>
      <c r="E17" s="67">
        <f>15000+2500+2000</f>
        <v>19500</v>
      </c>
      <c r="F17" s="67">
        <v>14500</v>
      </c>
      <c r="G17" s="67">
        <f>15000+2500+2000-2400</f>
        <v>17100</v>
      </c>
      <c r="H17" s="62"/>
    </row>
    <row r="18" spans="1:8">
      <c r="A18" s="64"/>
      <c r="B18" s="64" t="s">
        <v>12</v>
      </c>
      <c r="C18" s="64"/>
      <c r="D18" s="64"/>
      <c r="E18" s="67">
        <v>0</v>
      </c>
      <c r="F18" s="67">
        <v>0</v>
      </c>
      <c r="G18" s="67">
        <v>0</v>
      </c>
      <c r="H18" s="62"/>
    </row>
    <row r="19" spans="1:8">
      <c r="A19" s="64"/>
      <c r="B19" s="64" t="s">
        <v>289</v>
      </c>
      <c r="C19" s="71"/>
      <c r="D19" s="64"/>
      <c r="E19" s="67">
        <v>2500</v>
      </c>
      <c r="F19" s="67">
        <v>0</v>
      </c>
      <c r="G19" s="67">
        <v>350</v>
      </c>
      <c r="H19" s="62" t="s">
        <v>293</v>
      </c>
    </row>
    <row r="20" spans="1:8">
      <c r="A20" s="64"/>
      <c r="B20" s="64" t="s">
        <v>290</v>
      </c>
      <c r="C20" s="71"/>
      <c r="D20" s="64"/>
      <c r="E20" s="67">
        <v>0</v>
      </c>
      <c r="F20" s="67">
        <v>0</v>
      </c>
      <c r="G20" s="66">
        <f>'Prince 2016'!C8</f>
        <v>11000</v>
      </c>
      <c r="H20" s="63" t="s">
        <v>292</v>
      </c>
    </row>
    <row r="21" spans="1:8" ht="16.5" thickBot="1">
      <c r="A21" s="64"/>
      <c r="B21" s="83" t="s">
        <v>291</v>
      </c>
      <c r="C21" s="83"/>
      <c r="D21" s="83"/>
      <c r="E21" s="84">
        <f>SUM(E14:E20,E10)</f>
        <v>62225</v>
      </c>
      <c r="F21" s="84">
        <f t="shared" ref="F21:G21" si="0">SUM(F14:F20,F10)</f>
        <v>46475</v>
      </c>
      <c r="G21" s="84">
        <f t="shared" si="0"/>
        <v>74832.5</v>
      </c>
      <c r="H21" s="85"/>
    </row>
    <row r="22" spans="1:8" ht="16.5" thickTop="1">
      <c r="A22" s="64"/>
      <c r="B22" s="64" t="s">
        <v>296</v>
      </c>
      <c r="C22" s="64"/>
      <c r="D22" s="64"/>
      <c r="E22" s="86"/>
      <c r="F22" s="86"/>
      <c r="G22" s="86"/>
    </row>
    <row r="23" spans="1:8" ht="40.5" customHeight="1">
      <c r="A23" s="64"/>
      <c r="B23" s="64" t="s">
        <v>13</v>
      </c>
      <c r="C23" s="64"/>
      <c r="D23" s="64"/>
      <c r="E23" s="66">
        <v>20000</v>
      </c>
      <c r="F23" s="66">
        <v>11000</v>
      </c>
      <c r="G23" s="66">
        <v>15000</v>
      </c>
      <c r="H23" s="63" t="s">
        <v>294</v>
      </c>
    </row>
    <row r="24" spans="1:8">
      <c r="A24" s="64"/>
      <c r="B24" s="64" t="s">
        <v>14</v>
      </c>
      <c r="C24" s="64"/>
      <c r="D24" s="64"/>
      <c r="E24" s="66">
        <v>40000</v>
      </c>
      <c r="F24" s="66">
        <f>150000+30250</f>
        <v>180250</v>
      </c>
      <c r="G24" s="66">
        <f>20000+60000</f>
        <v>80000</v>
      </c>
      <c r="H24" s="63" t="s">
        <v>275</v>
      </c>
    </row>
    <row r="25" spans="1:8" ht="16.5" thickBot="1">
      <c r="A25" s="64"/>
      <c r="B25" s="81" t="s">
        <v>297</v>
      </c>
      <c r="C25" s="81"/>
      <c r="D25" s="81"/>
      <c r="E25" s="68">
        <f>SUM(E22:E24)</f>
        <v>60000</v>
      </c>
      <c r="F25" s="68">
        <f t="shared" ref="F25:G25" si="1">SUM(F22:F24)</f>
        <v>191250</v>
      </c>
      <c r="G25" s="68">
        <f t="shared" si="1"/>
        <v>95000</v>
      </c>
      <c r="H25" s="87"/>
    </row>
    <row r="26" spans="1:8">
      <c r="A26" s="64"/>
      <c r="B26" s="64" t="s">
        <v>15</v>
      </c>
      <c r="C26" s="64"/>
      <c r="D26" s="64"/>
      <c r="E26" s="67"/>
      <c r="F26" s="67"/>
      <c r="G26" s="67"/>
    </row>
    <row r="27" spans="1:8">
      <c r="A27" s="64"/>
      <c r="B27" s="64"/>
      <c r="C27" s="64" t="s">
        <v>16</v>
      </c>
      <c r="D27" s="64"/>
      <c r="E27" s="67">
        <v>1000</v>
      </c>
      <c r="F27" s="67">
        <v>0</v>
      </c>
      <c r="G27" s="67">
        <f>'HOME City Hall (NEA)'!B10+'Prince 2016'!C15</f>
        <v>3500</v>
      </c>
      <c r="H27" s="62" t="s">
        <v>295</v>
      </c>
    </row>
    <row r="28" spans="1:8" ht="47.25">
      <c r="A28" s="64"/>
      <c r="B28" s="64"/>
      <c r="C28" s="64" t="s">
        <v>17</v>
      </c>
      <c r="D28" s="64"/>
      <c r="E28" s="67">
        <v>38650</v>
      </c>
      <c r="F28" s="67">
        <v>30650</v>
      </c>
      <c r="G28" s="67">
        <f>28000+'HOME City Hall (NEA)'!B8</f>
        <v>30500</v>
      </c>
      <c r="H28" s="62" t="s">
        <v>277</v>
      </c>
    </row>
    <row r="29" spans="1:8" ht="47.25">
      <c r="A29" s="64"/>
      <c r="B29" s="64"/>
      <c r="C29" s="64" t="s">
        <v>18</v>
      </c>
      <c r="D29" s="64"/>
      <c r="E29" s="67">
        <v>74500</v>
      </c>
      <c r="F29" s="67">
        <v>70750</v>
      </c>
      <c r="G29" s="67">
        <f>45000+'HOME City Hall (NEA)'!B7+1000</f>
        <v>56000</v>
      </c>
      <c r="H29" s="62" t="s">
        <v>285</v>
      </c>
    </row>
    <row r="30" spans="1:8" ht="16.5" thickBot="1">
      <c r="A30" s="64"/>
      <c r="B30" s="81" t="s">
        <v>313</v>
      </c>
      <c r="C30" s="81"/>
      <c r="D30" s="81"/>
      <c r="E30" s="88">
        <f>SUM(E27:E29)</f>
        <v>114150</v>
      </c>
      <c r="F30" s="88">
        <f t="shared" ref="F30:G30" si="2">SUM(F27:F29)</f>
        <v>101400</v>
      </c>
      <c r="G30" s="88">
        <f t="shared" si="2"/>
        <v>90000</v>
      </c>
      <c r="H30" s="87"/>
    </row>
    <row r="31" spans="1:8" ht="16.5" thickBot="1">
      <c r="A31" s="64"/>
      <c r="B31" s="89" t="s">
        <v>298</v>
      </c>
      <c r="C31" s="89"/>
      <c r="D31" s="89"/>
      <c r="E31" s="90">
        <f>E30+E25</f>
        <v>174150</v>
      </c>
      <c r="F31" s="90">
        <f t="shared" ref="F31:G31" si="3">F30+F25</f>
        <v>292650</v>
      </c>
      <c r="G31" s="90">
        <f t="shared" si="3"/>
        <v>185000</v>
      </c>
      <c r="H31" s="91"/>
    </row>
    <row r="32" spans="1:8" ht="17.25" thickTop="1" thickBot="1">
      <c r="A32" s="64"/>
      <c r="B32" s="64" t="s">
        <v>94</v>
      </c>
      <c r="C32" s="64"/>
      <c r="D32" s="64"/>
      <c r="E32" s="67">
        <v>0</v>
      </c>
      <c r="F32" s="67">
        <v>0</v>
      </c>
      <c r="G32" s="66">
        <v>4000</v>
      </c>
      <c r="H32" s="114" t="s">
        <v>280</v>
      </c>
    </row>
    <row r="33" spans="1:11" ht="20.25" thickTop="1" thickBot="1">
      <c r="A33" s="92" t="s">
        <v>19</v>
      </c>
      <c r="B33" s="92"/>
      <c r="C33" s="92"/>
      <c r="D33" s="92"/>
      <c r="E33" s="93">
        <f>E32+E31+E21</f>
        <v>236375</v>
      </c>
      <c r="F33" s="93">
        <f t="shared" ref="F33:G33" si="4">F32+F31+F21</f>
        <v>339125</v>
      </c>
      <c r="G33" s="93">
        <f t="shared" si="4"/>
        <v>263832.5</v>
      </c>
      <c r="H33" s="94"/>
    </row>
    <row r="34" spans="1:11" ht="19.5" thickTop="1">
      <c r="A34" s="78"/>
      <c r="B34" s="78"/>
      <c r="C34" s="78"/>
      <c r="D34" s="78"/>
      <c r="E34" s="95"/>
      <c r="F34" s="95"/>
      <c r="G34" s="95"/>
    </row>
    <row r="35" spans="1:11" ht="18.75">
      <c r="A35" s="78" t="s">
        <v>20</v>
      </c>
      <c r="B35" s="64"/>
      <c r="C35" s="64"/>
      <c r="D35" s="64"/>
      <c r="E35" s="67"/>
      <c r="F35" s="67"/>
      <c r="G35" s="67"/>
    </row>
    <row r="36" spans="1:11">
      <c r="A36" s="64"/>
      <c r="B36" s="64" t="s">
        <v>21</v>
      </c>
      <c r="C36" s="64"/>
      <c r="D36" s="64"/>
      <c r="E36" s="67"/>
      <c r="F36" s="67"/>
      <c r="G36" s="67"/>
    </row>
    <row r="37" spans="1:11">
      <c r="A37" s="64"/>
      <c r="B37" s="64"/>
      <c r="C37" s="64" t="s">
        <v>22</v>
      </c>
      <c r="D37" s="64"/>
      <c r="E37" s="67">
        <v>15000</v>
      </c>
      <c r="F37" s="67">
        <v>15000</v>
      </c>
      <c r="G37" s="67">
        <f>18750</f>
        <v>18750</v>
      </c>
      <c r="H37" s="62" t="s">
        <v>299</v>
      </c>
      <c r="K37" s="96"/>
    </row>
    <row r="38" spans="1:11">
      <c r="A38" s="64"/>
      <c r="B38" s="64"/>
      <c r="C38" s="64" t="s">
        <v>262</v>
      </c>
      <c r="D38" s="64"/>
      <c r="E38" s="67"/>
      <c r="F38" s="67"/>
      <c r="G38" s="67">
        <v>6000</v>
      </c>
      <c r="H38" s="62" t="s">
        <v>300</v>
      </c>
    </row>
    <row r="39" spans="1:11">
      <c r="A39" s="64"/>
      <c r="B39" s="64"/>
      <c r="C39" s="64" t="s">
        <v>87</v>
      </c>
      <c r="D39" s="64"/>
      <c r="E39" s="67">
        <v>0</v>
      </c>
      <c r="F39" s="67">
        <v>0</v>
      </c>
      <c r="G39" s="67">
        <v>0</v>
      </c>
    </row>
    <row r="40" spans="1:11">
      <c r="A40" s="64"/>
      <c r="B40" s="97" t="s">
        <v>23</v>
      </c>
      <c r="C40" s="97"/>
      <c r="D40" s="97"/>
      <c r="E40" s="98">
        <f>ROUND(SUM(E36:E37),5)</f>
        <v>15000</v>
      </c>
      <c r="F40" s="98">
        <f>ROUND(SUM(F36:F39),5)</f>
        <v>15000</v>
      </c>
      <c r="G40" s="98">
        <f>ROUND(SUM(G36:G39),5)</f>
        <v>24750</v>
      </c>
      <c r="H40" s="99"/>
    </row>
    <row r="41" spans="1:11" ht="30" customHeight="1">
      <c r="A41" s="64"/>
      <c r="B41" s="64" t="s">
        <v>24</v>
      </c>
      <c r="C41" s="64"/>
      <c r="D41" s="64"/>
      <c r="E41" s="67"/>
      <c r="F41" s="67"/>
      <c r="G41" s="67"/>
    </row>
    <row r="42" spans="1:11">
      <c r="A42" s="64"/>
      <c r="B42" s="64"/>
      <c r="C42" s="64" t="s">
        <v>25</v>
      </c>
      <c r="D42" s="64"/>
      <c r="E42" s="67">
        <v>2600</v>
      </c>
      <c r="F42" s="67">
        <v>1600</v>
      </c>
      <c r="G42" s="67">
        <f>'HOME City Hall (NEA)'!B42+'Prince 2016'!C24+'Keene State College Tour 2016'!D13+'Austin, Texas HOME'!D12</f>
        <v>3800</v>
      </c>
    </row>
    <row r="43" spans="1:11">
      <c r="A43" s="64"/>
      <c r="B43" s="64"/>
      <c r="C43" s="64" t="s">
        <v>26</v>
      </c>
      <c r="D43" s="64"/>
      <c r="E43" s="67"/>
      <c r="F43" s="67"/>
      <c r="G43" s="67"/>
    </row>
    <row r="44" spans="1:11" ht="47.25">
      <c r="A44" s="64"/>
      <c r="B44" s="64"/>
      <c r="C44" s="64"/>
      <c r="D44" s="64" t="s">
        <v>27</v>
      </c>
      <c r="E44" s="67">
        <v>12700</v>
      </c>
      <c r="F44" s="67">
        <v>12700</v>
      </c>
      <c r="G44" s="67">
        <f>'HOME City Hall (NEA)'!B19+'Prince 2016'!C25+'Keene State College Tour 2016'!D14+'Austin, Texas HOME'!D13</f>
        <v>13050</v>
      </c>
      <c r="H44" s="62" t="s">
        <v>301</v>
      </c>
    </row>
    <row r="45" spans="1:11" ht="31.5">
      <c r="A45" s="64"/>
      <c r="B45" s="64"/>
      <c r="C45" s="64"/>
      <c r="D45" s="64" t="s">
        <v>28</v>
      </c>
      <c r="E45" s="67">
        <f>7*12*12*36</f>
        <v>36288</v>
      </c>
      <c r="F45" s="67">
        <v>26288</v>
      </c>
      <c r="G45" s="67">
        <f>'Rehearsal Pay'!D9</f>
        <v>60000</v>
      </c>
      <c r="H45" s="62" t="s">
        <v>302</v>
      </c>
    </row>
    <row r="46" spans="1:11">
      <c r="A46" s="64"/>
      <c r="B46" s="64"/>
      <c r="C46" s="64" t="s">
        <v>29</v>
      </c>
      <c r="D46" s="64"/>
      <c r="E46" s="86">
        <f>ROUND(SUM(E43:E45),5)</f>
        <v>48988</v>
      </c>
      <c r="F46" s="86">
        <f>ROUND(SUM(F43:F45),5)</f>
        <v>38988</v>
      </c>
      <c r="G46" s="86">
        <f>ROUND(SUM(G43:G45),5)</f>
        <v>73050</v>
      </c>
    </row>
    <row r="47" spans="1:11" ht="30" customHeight="1">
      <c r="A47" s="64"/>
      <c r="B47" s="64"/>
      <c r="C47" s="64" t="s">
        <v>30</v>
      </c>
      <c r="D47" s="64"/>
      <c r="E47" s="67">
        <v>2500</v>
      </c>
      <c r="F47" s="67">
        <v>0</v>
      </c>
      <c r="G47" s="67">
        <f>'HOME City Hall (NEA)'!B22+'Prince 2016'!C26+'Keene State College Tour 2016'!D15+'Austin, Texas HOME'!D14</f>
        <v>3250</v>
      </c>
      <c r="H47" s="117" t="s">
        <v>267</v>
      </c>
    </row>
    <row r="48" spans="1:11" ht="12" customHeight="1">
      <c r="A48" s="64"/>
      <c r="B48" s="64"/>
      <c r="C48" s="64"/>
      <c r="D48" s="64"/>
      <c r="E48" s="67"/>
      <c r="F48" s="67"/>
      <c r="G48" s="67"/>
      <c r="H48" s="117"/>
    </row>
    <row r="49" spans="1:8">
      <c r="A49" s="64"/>
      <c r="B49" s="64"/>
      <c r="C49" s="64" t="s">
        <v>31</v>
      </c>
      <c r="D49" s="64"/>
      <c r="E49" s="67">
        <v>6000</v>
      </c>
      <c r="F49" s="67">
        <v>0</v>
      </c>
      <c r="G49" s="67">
        <v>0</v>
      </c>
      <c r="H49" s="62" t="s">
        <v>283</v>
      </c>
    </row>
    <row r="50" spans="1:8">
      <c r="A50" s="64"/>
      <c r="B50" s="64"/>
      <c r="C50" s="64" t="s">
        <v>32</v>
      </c>
      <c r="D50" s="64"/>
      <c r="E50" s="67">
        <v>850</v>
      </c>
      <c r="F50" s="67">
        <v>850</v>
      </c>
      <c r="G50" s="67">
        <f>'Keene State College Tour 2016'!D16+'Austin, Texas HOME'!D15</f>
        <v>1437.5</v>
      </c>
      <c r="H50" s="62" t="s">
        <v>279</v>
      </c>
    </row>
    <row r="51" spans="1:8" ht="40.5" customHeight="1">
      <c r="A51" s="64"/>
      <c r="B51" s="64"/>
      <c r="C51" s="64" t="s">
        <v>33</v>
      </c>
      <c r="D51" s="64"/>
      <c r="E51" s="67">
        <f>1800+3000+1500</f>
        <v>6300</v>
      </c>
      <c r="F51" s="67">
        <v>1200</v>
      </c>
      <c r="G51" s="67">
        <f>'HOME City Hall (NEA)'!B20+'Prince 2016'!C27+'Keene State College Tour 2016'!D18+'Austin, Texas HOME'!D17</f>
        <v>5400</v>
      </c>
      <c r="H51" s="62" t="s">
        <v>268</v>
      </c>
    </row>
    <row r="52" spans="1:8">
      <c r="A52" s="64"/>
      <c r="B52" s="64"/>
      <c r="C52" s="64" t="s">
        <v>34</v>
      </c>
      <c r="D52" s="64"/>
      <c r="E52" s="67">
        <v>2000</v>
      </c>
      <c r="F52" s="67">
        <v>2000</v>
      </c>
      <c r="G52" s="67">
        <f>'HOME City Hall (NEA)'!B40+'Prince 2016'!C28</f>
        <v>5000</v>
      </c>
      <c r="H52" s="62" t="s">
        <v>260</v>
      </c>
    </row>
    <row r="53" spans="1:8">
      <c r="A53" s="64"/>
      <c r="B53" s="64"/>
      <c r="C53" s="64" t="s">
        <v>35</v>
      </c>
      <c r="D53" s="64"/>
      <c r="E53" s="67">
        <v>1000</v>
      </c>
      <c r="F53" s="67">
        <v>1000</v>
      </c>
      <c r="G53" s="67">
        <f>'HOME City Hall (NEA)'!B43+'Keene State College Tour 2016'!D24+'Austin, Texas HOME'!D20</f>
        <v>2605</v>
      </c>
      <c r="H53" s="62" t="s">
        <v>315</v>
      </c>
    </row>
    <row r="54" spans="1:8" ht="31.5">
      <c r="A54" s="64"/>
      <c r="B54" s="64"/>
      <c r="C54" s="64" t="s">
        <v>36</v>
      </c>
      <c r="D54" s="64"/>
      <c r="E54" s="67">
        <v>0</v>
      </c>
      <c r="F54" s="67">
        <v>0</v>
      </c>
      <c r="G54" s="67">
        <f>'Prince 2016'!C34</f>
        <v>18217.674375000002</v>
      </c>
      <c r="H54" s="62" t="s">
        <v>316</v>
      </c>
    </row>
    <row r="55" spans="1:8">
      <c r="A55" s="64"/>
      <c r="B55" s="64"/>
      <c r="C55" s="64" t="s">
        <v>37</v>
      </c>
      <c r="D55" s="64"/>
      <c r="E55" s="67">
        <f>3750+2250</f>
        <v>6000</v>
      </c>
      <c r="F55" s="67">
        <v>1750</v>
      </c>
      <c r="G55" s="67">
        <f>'HOME City Hall (NEA)'!B28+'Prince 2016'!C41</f>
        <v>3945</v>
      </c>
      <c r="H55" s="65" t="s">
        <v>91</v>
      </c>
    </row>
    <row r="56" spans="1:8">
      <c r="A56" s="64"/>
      <c r="B56" s="97" t="s">
        <v>38</v>
      </c>
      <c r="C56" s="97"/>
      <c r="D56" s="97"/>
      <c r="E56" s="98">
        <f>ROUND(SUM(E41:E42)+SUM(E46:E55),5)</f>
        <v>76238</v>
      </c>
      <c r="F56" s="98">
        <f>ROUND(SUM(F41:F42)+SUM(F46:F55),5)</f>
        <v>47388</v>
      </c>
      <c r="G56" s="98">
        <f>ROUND(SUM(G41:G42)+SUM(G46:G55),5)</f>
        <v>116705.17438</v>
      </c>
      <c r="H56" s="99"/>
    </row>
    <row r="57" spans="1:8" ht="30" customHeight="1">
      <c r="A57" s="64"/>
      <c r="B57" s="64" t="s">
        <v>39</v>
      </c>
      <c r="C57" s="64"/>
      <c r="D57" s="64"/>
      <c r="E57" s="67"/>
      <c r="F57" s="67"/>
      <c r="G57" s="67"/>
    </row>
    <row r="58" spans="1:8">
      <c r="A58" s="64"/>
      <c r="B58" s="64"/>
      <c r="C58" s="64" t="s">
        <v>40</v>
      </c>
      <c r="D58" s="64"/>
      <c r="E58" s="67">
        <v>7100</v>
      </c>
      <c r="F58" s="67">
        <v>5500</v>
      </c>
      <c r="G58" s="67">
        <f>2100+'HOME City Hall (NEA)'!B21</f>
        <v>3100</v>
      </c>
      <c r="H58" s="62" t="s">
        <v>259</v>
      </c>
    </row>
    <row r="59" spans="1:8">
      <c r="A59" s="64"/>
      <c r="B59" s="64"/>
      <c r="C59" s="64" t="s">
        <v>41</v>
      </c>
      <c r="D59" s="64"/>
      <c r="E59" s="67">
        <v>250</v>
      </c>
      <c r="F59" s="67">
        <v>250</v>
      </c>
      <c r="G59" s="67">
        <v>750</v>
      </c>
    </row>
    <row r="60" spans="1:8">
      <c r="A60" s="64"/>
      <c r="B60" s="97" t="s">
        <v>42</v>
      </c>
      <c r="C60" s="97"/>
      <c r="D60" s="97"/>
      <c r="E60" s="98">
        <f>ROUND(SUM(E57:E59),5)</f>
        <v>7350</v>
      </c>
      <c r="F60" s="98">
        <f>ROUND(SUM(F57:F59),5)</f>
        <v>5750</v>
      </c>
      <c r="G60" s="98">
        <f>ROUND(SUM(G57:G59),5)</f>
        <v>3850</v>
      </c>
      <c r="H60" s="99"/>
    </row>
    <row r="61" spans="1:8" ht="30" customHeight="1">
      <c r="A61" s="64"/>
      <c r="B61" s="64" t="s">
        <v>43</v>
      </c>
      <c r="C61" s="64"/>
      <c r="D61" s="64"/>
      <c r="E61" s="67">
        <v>750</v>
      </c>
      <c r="F61" s="67">
        <v>0</v>
      </c>
      <c r="G61" s="67">
        <f>750+1600</f>
        <v>2350</v>
      </c>
      <c r="H61" s="117" t="s">
        <v>303</v>
      </c>
    </row>
    <row r="62" spans="1:8" ht="18" customHeight="1">
      <c r="A62" s="64"/>
      <c r="B62" s="64"/>
      <c r="C62" s="64"/>
      <c r="D62" s="64"/>
      <c r="E62" s="67"/>
      <c r="F62" s="67"/>
      <c r="G62" s="67"/>
      <c r="H62" s="117"/>
    </row>
    <row r="63" spans="1:8">
      <c r="A63" s="64"/>
      <c r="B63" s="64" t="s">
        <v>44</v>
      </c>
      <c r="C63" s="64"/>
      <c r="D63" s="64"/>
      <c r="E63" s="67"/>
      <c r="F63" s="67"/>
      <c r="G63" s="67"/>
      <c r="H63" s="62"/>
    </row>
    <row r="64" spans="1:8" ht="81.75" customHeight="1">
      <c r="A64" s="64"/>
      <c r="B64" s="64"/>
      <c r="C64" s="64" t="s">
        <v>45</v>
      </c>
      <c r="D64" s="64"/>
      <c r="E64" s="67">
        <f>3500+3000+250+750+1100+250+1200+1500+1200</f>
        <v>12750</v>
      </c>
      <c r="F64" s="67">
        <v>8750</v>
      </c>
      <c r="G64" s="67">
        <f>'HOME City Hall (NEA)'!B38+'Prince 2016'!C51+3500+1200+3000</f>
        <v>21550</v>
      </c>
      <c r="H64" s="62" t="s">
        <v>304</v>
      </c>
    </row>
    <row r="65" spans="1:8">
      <c r="A65" s="64"/>
      <c r="B65" s="64"/>
      <c r="C65" s="64" t="s">
        <v>46</v>
      </c>
      <c r="D65" s="64"/>
      <c r="E65" s="67">
        <v>600</v>
      </c>
      <c r="F65" s="67">
        <v>600</v>
      </c>
      <c r="G65" s="67">
        <v>650</v>
      </c>
    </row>
    <row r="66" spans="1:8" ht="47.25">
      <c r="A66" s="64"/>
      <c r="B66" s="64"/>
      <c r="C66" s="64" t="s">
        <v>47</v>
      </c>
      <c r="D66" s="64"/>
      <c r="E66" s="67">
        <f>2200+2000</f>
        <v>4200</v>
      </c>
      <c r="F66" s="67">
        <v>4200</v>
      </c>
      <c r="G66" s="67">
        <v>9200</v>
      </c>
      <c r="H66" s="62" t="s">
        <v>305</v>
      </c>
    </row>
    <row r="67" spans="1:8">
      <c r="A67" s="64"/>
      <c r="B67" s="64"/>
      <c r="C67" s="64" t="s">
        <v>48</v>
      </c>
      <c r="D67" s="64"/>
      <c r="E67" s="67">
        <v>1100</v>
      </c>
      <c r="F67" s="67">
        <v>1100</v>
      </c>
      <c r="G67" s="67">
        <v>1100</v>
      </c>
    </row>
    <row r="68" spans="1:8">
      <c r="A68" s="64"/>
      <c r="B68" s="64"/>
      <c r="C68" s="64" t="s">
        <v>49</v>
      </c>
      <c r="D68" s="64"/>
      <c r="E68" s="67">
        <f>1000+900</f>
        <v>1900</v>
      </c>
      <c r="F68" s="67">
        <v>350</v>
      </c>
      <c r="G68" s="67">
        <v>0</v>
      </c>
      <c r="H68" s="62"/>
    </row>
    <row r="69" spans="1:8">
      <c r="A69" s="64"/>
      <c r="B69" s="97" t="s">
        <v>50</v>
      </c>
      <c r="C69" s="97"/>
      <c r="D69" s="97"/>
      <c r="E69" s="98">
        <f>ROUND(SUM(E63:E68),5)</f>
        <v>20550</v>
      </c>
      <c r="F69" s="98">
        <f>ROUND(SUM(F63:F68),5)</f>
        <v>15000</v>
      </c>
      <c r="G69" s="98">
        <f>ROUND(SUM(G63:G68),5)</f>
        <v>32500</v>
      </c>
      <c r="H69" s="99"/>
    </row>
    <row r="70" spans="1:8" ht="30" customHeight="1">
      <c r="A70" s="64"/>
      <c r="B70" s="64" t="s">
        <v>51</v>
      </c>
      <c r="C70" s="64"/>
      <c r="D70" s="64"/>
      <c r="E70" s="67"/>
      <c r="F70" s="67"/>
      <c r="G70" s="67"/>
    </row>
    <row r="71" spans="1:8">
      <c r="A71" s="64"/>
      <c r="B71" s="64"/>
      <c r="C71" s="64" t="s">
        <v>52</v>
      </c>
      <c r="D71" s="64"/>
      <c r="E71" s="67"/>
      <c r="F71" s="67"/>
      <c r="G71" s="67"/>
    </row>
    <row r="72" spans="1:8">
      <c r="A72" s="64"/>
      <c r="B72" s="64"/>
      <c r="C72" s="64"/>
      <c r="D72" s="64" t="s">
        <v>89</v>
      </c>
      <c r="E72" s="67">
        <v>2200</v>
      </c>
      <c r="F72" s="67">
        <v>600</v>
      </c>
      <c r="G72" s="67">
        <v>1000</v>
      </c>
    </row>
    <row r="73" spans="1:8">
      <c r="A73" s="64"/>
      <c r="B73" s="64"/>
      <c r="C73" s="64"/>
      <c r="D73" s="64" t="s">
        <v>53</v>
      </c>
      <c r="E73" s="67">
        <v>6000</v>
      </c>
      <c r="F73" s="67">
        <v>6000</v>
      </c>
      <c r="G73" s="67">
        <f>550*12</f>
        <v>6600</v>
      </c>
      <c r="H73" s="62" t="s">
        <v>282</v>
      </c>
    </row>
    <row r="74" spans="1:8">
      <c r="A74" s="64"/>
      <c r="B74" s="64"/>
      <c r="C74" s="64" t="s">
        <v>54</v>
      </c>
      <c r="D74" s="64"/>
      <c r="E74" s="86">
        <f>ROUND(SUM(E73:E73),5)</f>
        <v>6000</v>
      </c>
      <c r="F74" s="86">
        <f>ROUND(SUM(F73:F73),5)</f>
        <v>6000</v>
      </c>
      <c r="G74" s="86">
        <f>ROUND(SUM(G73:G73),5)</f>
        <v>6600</v>
      </c>
    </row>
    <row r="75" spans="1:8" ht="30" customHeight="1">
      <c r="A75" s="64"/>
      <c r="B75" s="64"/>
      <c r="C75" s="64" t="s">
        <v>55</v>
      </c>
      <c r="D75" s="64"/>
      <c r="E75" s="67">
        <v>750</v>
      </c>
      <c r="F75" s="67">
        <v>750</v>
      </c>
      <c r="G75" s="67">
        <v>750</v>
      </c>
    </row>
    <row r="76" spans="1:8">
      <c r="A76" s="64"/>
      <c r="B76" s="64"/>
      <c r="C76" s="64" t="s">
        <v>56</v>
      </c>
      <c r="D76" s="64"/>
      <c r="E76" s="67">
        <v>100</v>
      </c>
      <c r="F76" s="67">
        <v>100</v>
      </c>
      <c r="G76" s="67">
        <v>750</v>
      </c>
    </row>
    <row r="77" spans="1:8">
      <c r="A77" s="64"/>
      <c r="B77" s="97" t="s">
        <v>57</v>
      </c>
      <c r="C77" s="97"/>
      <c r="D77" s="97"/>
      <c r="E77" s="98">
        <f>ROUND(E72+SUM(E74:E76),5)</f>
        <v>9050</v>
      </c>
      <c r="F77" s="98">
        <f>ROUND(F72+SUM(F74:F76),5)</f>
        <v>7450</v>
      </c>
      <c r="G77" s="98">
        <f>ROUND(G72+SUM(G74:G76),5)</f>
        <v>9100</v>
      </c>
      <c r="H77" s="99"/>
    </row>
    <row r="78" spans="1:8" ht="30" customHeight="1">
      <c r="A78" s="64"/>
      <c r="B78" s="64" t="s">
        <v>58</v>
      </c>
      <c r="C78" s="64"/>
      <c r="D78" s="64"/>
      <c r="E78" s="67"/>
      <c r="F78" s="67"/>
      <c r="G78" s="67"/>
    </row>
    <row r="79" spans="1:8">
      <c r="A79" s="64"/>
      <c r="B79" s="64"/>
      <c r="C79" s="64" t="s">
        <v>59</v>
      </c>
      <c r="D79" s="64"/>
      <c r="E79" s="67">
        <v>4000</v>
      </c>
      <c r="F79" s="67">
        <v>2000</v>
      </c>
      <c r="G79" s="67">
        <v>2500</v>
      </c>
      <c r="H79" s="65" t="s">
        <v>97</v>
      </c>
    </row>
    <row r="80" spans="1:8">
      <c r="A80" s="64"/>
      <c r="B80" s="64"/>
      <c r="C80" s="64" t="s">
        <v>60</v>
      </c>
      <c r="D80" s="64"/>
      <c r="E80" s="67">
        <v>6750</v>
      </c>
      <c r="F80" s="67">
        <v>6750</v>
      </c>
      <c r="G80" s="67">
        <f>18*6*75</f>
        <v>8100</v>
      </c>
      <c r="H80" s="62" t="s">
        <v>269</v>
      </c>
    </row>
    <row r="81" spans="1:8">
      <c r="A81" s="64"/>
      <c r="B81" s="64"/>
      <c r="C81" s="64" t="s">
        <v>61</v>
      </c>
      <c r="D81" s="64"/>
      <c r="E81" s="67">
        <v>600</v>
      </c>
      <c r="F81" s="67">
        <v>600</v>
      </c>
      <c r="G81" s="67">
        <v>1400</v>
      </c>
    </row>
    <row r="82" spans="1:8">
      <c r="A82" s="64"/>
      <c r="B82" s="64"/>
      <c r="C82" s="64" t="s">
        <v>62</v>
      </c>
      <c r="D82" s="64"/>
      <c r="E82" s="67">
        <v>800</v>
      </c>
      <c r="F82" s="67">
        <v>800</v>
      </c>
      <c r="G82" s="67">
        <v>800</v>
      </c>
    </row>
    <row r="83" spans="1:8">
      <c r="A83" s="64"/>
      <c r="B83" s="64"/>
      <c r="C83" s="64" t="s">
        <v>63</v>
      </c>
      <c r="D83" s="64"/>
      <c r="E83" s="67">
        <v>20000</v>
      </c>
      <c r="F83" s="67">
        <v>20000</v>
      </c>
      <c r="G83" s="67">
        <v>22000</v>
      </c>
      <c r="H83" s="62" t="s">
        <v>306</v>
      </c>
    </row>
    <row r="84" spans="1:8" ht="31.5">
      <c r="A84" s="64"/>
      <c r="B84" s="64"/>
      <c r="C84" s="64" t="s">
        <v>263</v>
      </c>
      <c r="D84" s="64"/>
      <c r="E84" s="67"/>
      <c r="F84" s="67"/>
      <c r="G84" s="67">
        <f>40*31*12</f>
        <v>14880</v>
      </c>
      <c r="H84" s="62" t="s">
        <v>307</v>
      </c>
    </row>
    <row r="85" spans="1:8" ht="31.5">
      <c r="A85" s="64"/>
      <c r="B85" s="64"/>
      <c r="C85" s="64" t="s">
        <v>272</v>
      </c>
      <c r="D85" s="64"/>
      <c r="E85" s="67"/>
      <c r="F85" s="67"/>
      <c r="G85" s="67">
        <f>(10*26*12)+(15*26*12)</f>
        <v>7800</v>
      </c>
      <c r="H85" s="62" t="s">
        <v>308</v>
      </c>
    </row>
    <row r="86" spans="1:8">
      <c r="A86" s="64"/>
      <c r="B86" s="64"/>
      <c r="C86" s="64" t="s">
        <v>64</v>
      </c>
      <c r="D86" s="64"/>
      <c r="E86" s="67">
        <v>2205</v>
      </c>
      <c r="F86" s="67">
        <v>2800</v>
      </c>
      <c r="G86" s="67">
        <f>2400+'HOME City Hall (NEA)'!B41</f>
        <v>3000</v>
      </c>
      <c r="H86" s="62" t="s">
        <v>261</v>
      </c>
    </row>
    <row r="87" spans="1:8">
      <c r="A87" s="64"/>
      <c r="B87" s="64"/>
      <c r="C87" s="64" t="s">
        <v>65</v>
      </c>
      <c r="D87" s="64"/>
      <c r="E87" s="67">
        <v>1200</v>
      </c>
      <c r="F87" s="67">
        <v>1200</v>
      </c>
      <c r="G87" s="67">
        <v>1000</v>
      </c>
    </row>
    <row r="88" spans="1:8" ht="60.75" customHeight="1">
      <c r="A88" s="64"/>
      <c r="B88" s="64"/>
      <c r="C88" s="64" t="s">
        <v>66</v>
      </c>
      <c r="D88" s="64"/>
      <c r="E88" s="67">
        <f>6000+12100</f>
        <v>18100</v>
      </c>
      <c r="F88" s="67">
        <v>15600</v>
      </c>
      <c r="G88" s="67">
        <f>6900+3150</f>
        <v>10050</v>
      </c>
      <c r="H88" s="62" t="s">
        <v>309</v>
      </c>
    </row>
    <row r="89" spans="1:8">
      <c r="A89" s="64"/>
      <c r="B89" s="64"/>
      <c r="C89" s="64" t="s">
        <v>67</v>
      </c>
      <c r="D89" s="64"/>
      <c r="E89" s="67"/>
      <c r="F89" s="67"/>
      <c r="G89" s="67"/>
    </row>
    <row r="90" spans="1:8">
      <c r="A90" s="64"/>
      <c r="B90" s="64"/>
      <c r="C90" s="64"/>
      <c r="D90" s="64" t="s">
        <v>68</v>
      </c>
      <c r="E90" s="67">
        <v>2500</v>
      </c>
      <c r="F90" s="67">
        <v>1000</v>
      </c>
      <c r="G90" s="67">
        <v>1000</v>
      </c>
      <c r="H90" s="62"/>
    </row>
    <row r="91" spans="1:8">
      <c r="A91" s="64"/>
      <c r="B91" s="64"/>
      <c r="C91" s="64"/>
      <c r="D91" s="64" t="s">
        <v>69</v>
      </c>
      <c r="E91" s="67">
        <v>3000</v>
      </c>
      <c r="F91" s="67">
        <v>2500</v>
      </c>
      <c r="G91" s="67">
        <v>3000</v>
      </c>
    </row>
    <row r="92" spans="1:8">
      <c r="A92" s="64"/>
      <c r="B92" s="64"/>
      <c r="C92" s="97" t="s">
        <v>70</v>
      </c>
      <c r="D92" s="97"/>
      <c r="E92" s="98">
        <f>ROUND(SUM(E89:E91),5)</f>
        <v>5500</v>
      </c>
      <c r="F92" s="98">
        <f>ROUND(SUM(F89:F91),5)</f>
        <v>3500</v>
      </c>
      <c r="G92" s="98">
        <f>ROUND(SUM(G89:G91),5)</f>
        <v>4000</v>
      </c>
      <c r="H92" s="99"/>
    </row>
    <row r="93" spans="1:8" ht="30" customHeight="1">
      <c r="A93" s="64"/>
      <c r="B93" s="64"/>
      <c r="C93" s="64" t="s">
        <v>71</v>
      </c>
      <c r="D93" s="64"/>
      <c r="E93" s="67">
        <v>2300</v>
      </c>
      <c r="F93" s="67">
        <v>2300</v>
      </c>
      <c r="G93" s="67">
        <v>2300</v>
      </c>
    </row>
    <row r="94" spans="1:8">
      <c r="A94" s="64"/>
      <c r="B94" s="64"/>
      <c r="C94" s="64" t="s">
        <v>72</v>
      </c>
      <c r="D94" s="64"/>
      <c r="E94" s="67">
        <f>+(E37+E44+E45+E83+E88+E106)*0.11</f>
        <v>11229.68</v>
      </c>
      <c r="F94" s="67">
        <v>9854.68</v>
      </c>
      <c r="G94" s="67">
        <f>+(G37+G38+G44+G45+G83+G84+G85+G88+G106)*0.11</f>
        <v>16778.3</v>
      </c>
    </row>
    <row r="95" spans="1:8">
      <c r="A95" s="64"/>
      <c r="B95" s="64"/>
      <c r="C95" s="64" t="s">
        <v>73</v>
      </c>
      <c r="D95" s="64"/>
      <c r="E95" s="67"/>
      <c r="F95" s="67"/>
      <c r="G95" s="67"/>
    </row>
    <row r="96" spans="1:8">
      <c r="A96" s="64"/>
      <c r="B96" s="64"/>
      <c r="C96" s="64"/>
      <c r="D96" s="64" t="s">
        <v>74</v>
      </c>
      <c r="E96" s="67">
        <f>13000+4500</f>
        <v>17500</v>
      </c>
      <c r="F96" s="67">
        <v>13000</v>
      </c>
      <c r="G96" s="67">
        <f>12000*1.15</f>
        <v>13799.999999999998</v>
      </c>
      <c r="H96" s="62" t="s">
        <v>222</v>
      </c>
    </row>
    <row r="97" spans="1:8">
      <c r="A97" s="64"/>
      <c r="B97" s="64"/>
      <c r="C97" s="64"/>
      <c r="D97" s="64" t="s">
        <v>75</v>
      </c>
      <c r="E97" s="67">
        <v>2500</v>
      </c>
      <c r="F97" s="67">
        <f>800+1500</f>
        <v>2300</v>
      </c>
      <c r="G97" s="67">
        <v>2500</v>
      </c>
      <c r="H97" s="65" t="s">
        <v>310</v>
      </c>
    </row>
    <row r="98" spans="1:8">
      <c r="A98" s="64"/>
      <c r="B98" s="64"/>
      <c r="C98" s="64"/>
      <c r="D98" s="64" t="s">
        <v>76</v>
      </c>
      <c r="E98" s="67">
        <v>1000</v>
      </c>
      <c r="F98" s="67">
        <v>5300</v>
      </c>
      <c r="G98" s="67">
        <v>2500</v>
      </c>
      <c r="H98" s="65" t="s">
        <v>274</v>
      </c>
    </row>
    <row r="99" spans="1:8">
      <c r="A99" s="64"/>
      <c r="B99" s="64"/>
      <c r="C99" s="64"/>
      <c r="D99" s="64" t="s">
        <v>92</v>
      </c>
      <c r="E99" s="67">
        <v>3500</v>
      </c>
      <c r="F99" s="67">
        <v>2500</v>
      </c>
      <c r="G99" s="67">
        <f>'Prince 2016'!C45</f>
        <v>2000</v>
      </c>
      <c r="H99" s="65" t="s">
        <v>270</v>
      </c>
    </row>
    <row r="100" spans="1:8">
      <c r="A100" s="64"/>
      <c r="B100" s="64"/>
      <c r="C100" s="64" t="s">
        <v>77</v>
      </c>
      <c r="D100" s="64"/>
      <c r="E100" s="86">
        <f>ROUND(SUM(E95:E99),5)</f>
        <v>24500</v>
      </c>
      <c r="F100" s="86">
        <f>ROUND(SUM(F95:F99),5)</f>
        <v>23100</v>
      </c>
      <c r="G100" s="86">
        <f>ROUND(SUM(G95:G99),5)</f>
        <v>20800</v>
      </c>
      <c r="H100" s="62"/>
    </row>
    <row r="101" spans="1:8" ht="30" customHeight="1">
      <c r="A101" s="64"/>
      <c r="B101" s="64"/>
      <c r="C101" s="64" t="s">
        <v>78</v>
      </c>
      <c r="D101" s="64"/>
      <c r="E101" s="67">
        <v>1680</v>
      </c>
      <c r="F101" s="67">
        <v>1980</v>
      </c>
      <c r="G101" s="67">
        <v>1680</v>
      </c>
    </row>
    <row r="102" spans="1:8">
      <c r="A102" s="64"/>
      <c r="B102" s="64"/>
      <c r="C102" s="64" t="s">
        <v>79</v>
      </c>
      <c r="D102" s="64"/>
      <c r="E102" s="67">
        <v>3500</v>
      </c>
      <c r="F102" s="67">
        <v>4500</v>
      </c>
      <c r="G102" s="67">
        <v>3500</v>
      </c>
    </row>
    <row r="103" spans="1:8">
      <c r="A103" s="64"/>
      <c r="B103" s="97" t="s">
        <v>80</v>
      </c>
      <c r="C103" s="97"/>
      <c r="D103" s="97"/>
      <c r="E103" s="98">
        <f>ROUND(SUM(E78:E88)+SUM(E92:E94)+SUM(E100:E102),5)</f>
        <v>102364.68</v>
      </c>
      <c r="F103" s="98">
        <f>ROUND(SUM(F78:F88)+SUM(F92:F94)+SUM(F100:F102),5)</f>
        <v>94984.68</v>
      </c>
      <c r="G103" s="98">
        <f>ROUND(SUM(G78:G88)+SUM(G92:G94)+SUM(G100:G102),5)</f>
        <v>120588.3</v>
      </c>
      <c r="H103" s="99"/>
    </row>
    <row r="104" spans="1:8" ht="30" customHeight="1">
      <c r="A104" s="64"/>
      <c r="B104" s="64" t="s">
        <v>81</v>
      </c>
      <c r="C104" s="64"/>
      <c r="D104" s="64"/>
      <c r="E104" s="67"/>
      <c r="F104" s="67"/>
      <c r="G104" s="67"/>
    </row>
    <row r="105" spans="1:8" ht="31.5">
      <c r="A105" s="64"/>
      <c r="B105" s="64"/>
      <c r="C105" s="64" t="s">
        <v>90</v>
      </c>
      <c r="D105" s="64"/>
      <c r="E105" s="67">
        <v>2000</v>
      </c>
      <c r="F105" s="67">
        <v>2000</v>
      </c>
      <c r="G105" s="67">
        <f>'Prince 2016'!C56+'Prince 2016'!C58+700+2500</f>
        <v>6500</v>
      </c>
      <c r="H105" s="62" t="s">
        <v>311</v>
      </c>
    </row>
    <row r="106" spans="1:8">
      <c r="A106" s="64"/>
      <c r="B106" s="64"/>
      <c r="C106" s="64" t="s">
        <v>93</v>
      </c>
      <c r="D106" s="64"/>
      <c r="E106" s="67">
        <v>0</v>
      </c>
      <c r="F106" s="67">
        <v>0</v>
      </c>
      <c r="G106" s="67">
        <v>0</v>
      </c>
      <c r="H106" s="62"/>
    </row>
    <row r="107" spans="1:8">
      <c r="A107" s="64"/>
      <c r="B107" s="64"/>
      <c r="C107" s="64" t="s">
        <v>82</v>
      </c>
      <c r="D107" s="64"/>
      <c r="E107" s="67">
        <v>1000</v>
      </c>
      <c r="F107" s="67">
        <v>1000</v>
      </c>
      <c r="G107" s="67">
        <v>2500</v>
      </c>
      <c r="H107" s="62" t="s">
        <v>273</v>
      </c>
    </row>
    <row r="108" spans="1:8">
      <c r="A108" s="64"/>
      <c r="B108" s="100" t="s">
        <v>83</v>
      </c>
      <c r="C108" s="100"/>
      <c r="D108" s="100"/>
      <c r="E108" s="101">
        <f>ROUND(SUM(E104:E107),5)</f>
        <v>3000</v>
      </c>
      <c r="F108" s="101">
        <f>ROUND(SUM(F104:F107),5)</f>
        <v>3000</v>
      </c>
      <c r="G108" s="101">
        <f>ROUND(SUM(G104:G107),5)</f>
        <v>9000</v>
      </c>
      <c r="H108" s="102"/>
    </row>
    <row r="109" spans="1:8" ht="19.5" thickBot="1">
      <c r="A109" s="103" t="s">
        <v>84</v>
      </c>
      <c r="B109" s="103"/>
      <c r="C109" s="103"/>
      <c r="D109" s="103"/>
      <c r="E109" s="104">
        <f>ROUND(E35+E40+E56+SUM(E60:E61)+E69+E77+E103+E108,5)</f>
        <v>234302.68</v>
      </c>
      <c r="F109" s="104">
        <f>ROUND(F35+F40+F56+SUM(F60:F61)+F69+F77+F103+F108,5)</f>
        <v>188572.68</v>
      </c>
      <c r="G109" s="104">
        <f>ROUND(G35+G40+G56+SUM(G60:G61)+G69+G77+G103+G108,5)</f>
        <v>318843.47438000003</v>
      </c>
      <c r="H109" s="82"/>
    </row>
    <row r="110" spans="1:8" ht="19.5" thickBot="1">
      <c r="A110" s="78"/>
      <c r="B110" s="78"/>
      <c r="C110" s="78"/>
      <c r="D110" s="78"/>
      <c r="E110" s="95"/>
      <c r="F110" s="95"/>
      <c r="G110" s="95"/>
    </row>
    <row r="111" spans="1:8" ht="33" thickTop="1" thickBot="1">
      <c r="A111" s="92" t="s">
        <v>286</v>
      </c>
      <c r="B111" s="92"/>
      <c r="C111" s="92"/>
      <c r="D111" s="92"/>
      <c r="E111" s="93">
        <f>E33-E109</f>
        <v>2072.320000000007</v>
      </c>
      <c r="F111" s="93">
        <f t="shared" ref="F111:G111" si="5">F33-F109</f>
        <v>150552.32000000001</v>
      </c>
      <c r="G111" s="93">
        <f t="shared" si="5"/>
        <v>-55010.974380000029</v>
      </c>
      <c r="H111" s="105" t="s">
        <v>312</v>
      </c>
    </row>
    <row r="112" spans="1:8" ht="16.5" thickTop="1">
      <c r="A112" s="106" t="s">
        <v>284</v>
      </c>
      <c r="B112" s="107"/>
      <c r="C112" s="107"/>
      <c r="D112" s="107"/>
      <c r="E112" s="108"/>
      <c r="F112" s="108"/>
      <c r="G112" s="108"/>
    </row>
    <row r="113" spans="1:7">
      <c r="A113" s="109"/>
      <c r="B113" s="107"/>
      <c r="C113" s="107"/>
      <c r="D113" s="107"/>
      <c r="E113" s="108"/>
      <c r="F113" s="108"/>
      <c r="G113" s="108"/>
    </row>
  </sheetData>
  <mergeCells count="4">
    <mergeCell ref="A1:D2"/>
    <mergeCell ref="H1:H3"/>
    <mergeCell ref="H47:H48"/>
    <mergeCell ref="H61:H62"/>
  </mergeCells>
  <pageMargins left="0.7" right="0.7" top="0.75" bottom="0.75" header="0.1" footer="0.3"/>
  <pageSetup scale="50" fitToHeight="12" orientation="landscape" horizontalDpi="1200" verticalDpi="1200" r:id="rId1"/>
  <headerFooter>
    <oddHeader>&amp;C&amp;"Arial,Bold"&amp;12 &amp;"Times New Roman,Bold"&amp;22Kun-Yang Lin/ Dancers 2016 Budget Tool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opLeftCell="A25" workbookViewId="0">
      <selection activeCell="B32" sqref="B32"/>
    </sheetView>
  </sheetViews>
  <sheetFormatPr defaultRowHeight="15"/>
  <cols>
    <col min="1" max="1" width="81.5703125" style="10" customWidth="1"/>
    <col min="2" max="2" width="15.7109375" style="11" customWidth="1"/>
    <col min="3" max="3" width="5.140625" style="10" customWidth="1"/>
    <col min="4" max="5" width="9.140625" style="10"/>
    <col min="6" max="6" width="10.28515625" style="10" bestFit="1" customWidth="1"/>
    <col min="7" max="255" width="9.140625" style="10"/>
    <col min="256" max="256" width="47" style="10" customWidth="1"/>
    <col min="257" max="257" width="3.140625" style="10" customWidth="1"/>
    <col min="258" max="258" width="11.42578125" style="10" customWidth="1"/>
    <col min="259" max="259" width="3.140625" style="10" customWidth="1"/>
    <col min="260" max="261" width="9.140625" style="10"/>
    <col min="262" max="262" width="10.28515625" style="10" bestFit="1" customWidth="1"/>
    <col min="263" max="511" width="9.140625" style="10"/>
    <col min="512" max="512" width="47" style="10" customWidth="1"/>
    <col min="513" max="513" width="3.140625" style="10" customWidth="1"/>
    <col min="514" max="514" width="11.42578125" style="10" customWidth="1"/>
    <col min="515" max="515" width="3.140625" style="10" customWidth="1"/>
    <col min="516" max="517" width="9.140625" style="10"/>
    <col min="518" max="518" width="10.28515625" style="10" bestFit="1" customWidth="1"/>
    <col min="519" max="767" width="9.140625" style="10"/>
    <col min="768" max="768" width="47" style="10" customWidth="1"/>
    <col min="769" max="769" width="3.140625" style="10" customWidth="1"/>
    <col min="770" max="770" width="11.42578125" style="10" customWidth="1"/>
    <col min="771" max="771" width="3.140625" style="10" customWidth="1"/>
    <col min="772" max="773" width="9.140625" style="10"/>
    <col min="774" max="774" width="10.28515625" style="10" bestFit="1" customWidth="1"/>
    <col min="775" max="1023" width="9.140625" style="10"/>
    <col min="1024" max="1024" width="47" style="10" customWidth="1"/>
    <col min="1025" max="1025" width="3.140625" style="10" customWidth="1"/>
    <col min="1026" max="1026" width="11.42578125" style="10" customWidth="1"/>
    <col min="1027" max="1027" width="3.140625" style="10" customWidth="1"/>
    <col min="1028" max="1029" width="9.140625" style="10"/>
    <col min="1030" max="1030" width="10.28515625" style="10" bestFit="1" customWidth="1"/>
    <col min="1031" max="1279" width="9.140625" style="10"/>
    <col min="1280" max="1280" width="47" style="10" customWidth="1"/>
    <col min="1281" max="1281" width="3.140625" style="10" customWidth="1"/>
    <col min="1282" max="1282" width="11.42578125" style="10" customWidth="1"/>
    <col min="1283" max="1283" width="3.140625" style="10" customWidth="1"/>
    <col min="1284" max="1285" width="9.140625" style="10"/>
    <col min="1286" max="1286" width="10.28515625" style="10" bestFit="1" customWidth="1"/>
    <col min="1287" max="1535" width="9.140625" style="10"/>
    <col min="1536" max="1536" width="47" style="10" customWidth="1"/>
    <col min="1537" max="1537" width="3.140625" style="10" customWidth="1"/>
    <col min="1538" max="1538" width="11.42578125" style="10" customWidth="1"/>
    <col min="1539" max="1539" width="3.140625" style="10" customWidth="1"/>
    <col min="1540" max="1541" width="9.140625" style="10"/>
    <col min="1542" max="1542" width="10.28515625" style="10" bestFit="1" customWidth="1"/>
    <col min="1543" max="1791" width="9.140625" style="10"/>
    <col min="1792" max="1792" width="47" style="10" customWidth="1"/>
    <col min="1793" max="1793" width="3.140625" style="10" customWidth="1"/>
    <col min="1794" max="1794" width="11.42578125" style="10" customWidth="1"/>
    <col min="1795" max="1795" width="3.140625" style="10" customWidth="1"/>
    <col min="1796" max="1797" width="9.140625" style="10"/>
    <col min="1798" max="1798" width="10.28515625" style="10" bestFit="1" customWidth="1"/>
    <col min="1799" max="2047" width="9.140625" style="10"/>
    <col min="2048" max="2048" width="47" style="10" customWidth="1"/>
    <col min="2049" max="2049" width="3.140625" style="10" customWidth="1"/>
    <col min="2050" max="2050" width="11.42578125" style="10" customWidth="1"/>
    <col min="2051" max="2051" width="3.140625" style="10" customWidth="1"/>
    <col min="2052" max="2053" width="9.140625" style="10"/>
    <col min="2054" max="2054" width="10.28515625" style="10" bestFit="1" customWidth="1"/>
    <col min="2055" max="2303" width="9.140625" style="10"/>
    <col min="2304" max="2304" width="47" style="10" customWidth="1"/>
    <col min="2305" max="2305" width="3.140625" style="10" customWidth="1"/>
    <col min="2306" max="2306" width="11.42578125" style="10" customWidth="1"/>
    <col min="2307" max="2307" width="3.140625" style="10" customWidth="1"/>
    <col min="2308" max="2309" width="9.140625" style="10"/>
    <col min="2310" max="2310" width="10.28515625" style="10" bestFit="1" customWidth="1"/>
    <col min="2311" max="2559" width="9.140625" style="10"/>
    <col min="2560" max="2560" width="47" style="10" customWidth="1"/>
    <col min="2561" max="2561" width="3.140625" style="10" customWidth="1"/>
    <col min="2562" max="2562" width="11.42578125" style="10" customWidth="1"/>
    <col min="2563" max="2563" width="3.140625" style="10" customWidth="1"/>
    <col min="2564" max="2565" width="9.140625" style="10"/>
    <col min="2566" max="2566" width="10.28515625" style="10" bestFit="1" customWidth="1"/>
    <col min="2567" max="2815" width="9.140625" style="10"/>
    <col min="2816" max="2816" width="47" style="10" customWidth="1"/>
    <col min="2817" max="2817" width="3.140625" style="10" customWidth="1"/>
    <col min="2818" max="2818" width="11.42578125" style="10" customWidth="1"/>
    <col min="2819" max="2819" width="3.140625" style="10" customWidth="1"/>
    <col min="2820" max="2821" width="9.140625" style="10"/>
    <col min="2822" max="2822" width="10.28515625" style="10" bestFit="1" customWidth="1"/>
    <col min="2823" max="3071" width="9.140625" style="10"/>
    <col min="3072" max="3072" width="47" style="10" customWidth="1"/>
    <col min="3073" max="3073" width="3.140625" style="10" customWidth="1"/>
    <col min="3074" max="3074" width="11.42578125" style="10" customWidth="1"/>
    <col min="3075" max="3075" width="3.140625" style="10" customWidth="1"/>
    <col min="3076" max="3077" width="9.140625" style="10"/>
    <col min="3078" max="3078" width="10.28515625" style="10" bestFit="1" customWidth="1"/>
    <col min="3079" max="3327" width="9.140625" style="10"/>
    <col min="3328" max="3328" width="47" style="10" customWidth="1"/>
    <col min="3329" max="3329" width="3.140625" style="10" customWidth="1"/>
    <col min="3330" max="3330" width="11.42578125" style="10" customWidth="1"/>
    <col min="3331" max="3331" width="3.140625" style="10" customWidth="1"/>
    <col min="3332" max="3333" width="9.140625" style="10"/>
    <col min="3334" max="3334" width="10.28515625" style="10" bestFit="1" customWidth="1"/>
    <col min="3335" max="3583" width="9.140625" style="10"/>
    <col min="3584" max="3584" width="47" style="10" customWidth="1"/>
    <col min="3585" max="3585" width="3.140625" style="10" customWidth="1"/>
    <col min="3586" max="3586" width="11.42578125" style="10" customWidth="1"/>
    <col min="3587" max="3587" width="3.140625" style="10" customWidth="1"/>
    <col min="3588" max="3589" width="9.140625" style="10"/>
    <col min="3590" max="3590" width="10.28515625" style="10" bestFit="1" customWidth="1"/>
    <col min="3591" max="3839" width="9.140625" style="10"/>
    <col min="3840" max="3840" width="47" style="10" customWidth="1"/>
    <col min="3841" max="3841" width="3.140625" style="10" customWidth="1"/>
    <col min="3842" max="3842" width="11.42578125" style="10" customWidth="1"/>
    <col min="3843" max="3843" width="3.140625" style="10" customWidth="1"/>
    <col min="3844" max="3845" width="9.140625" style="10"/>
    <col min="3846" max="3846" width="10.28515625" style="10" bestFit="1" customWidth="1"/>
    <col min="3847" max="4095" width="9.140625" style="10"/>
    <col min="4096" max="4096" width="47" style="10" customWidth="1"/>
    <col min="4097" max="4097" width="3.140625" style="10" customWidth="1"/>
    <col min="4098" max="4098" width="11.42578125" style="10" customWidth="1"/>
    <col min="4099" max="4099" width="3.140625" style="10" customWidth="1"/>
    <col min="4100" max="4101" width="9.140625" style="10"/>
    <col min="4102" max="4102" width="10.28515625" style="10" bestFit="1" customWidth="1"/>
    <col min="4103" max="4351" width="9.140625" style="10"/>
    <col min="4352" max="4352" width="47" style="10" customWidth="1"/>
    <col min="4353" max="4353" width="3.140625" style="10" customWidth="1"/>
    <col min="4354" max="4354" width="11.42578125" style="10" customWidth="1"/>
    <col min="4355" max="4355" width="3.140625" style="10" customWidth="1"/>
    <col min="4356" max="4357" width="9.140625" style="10"/>
    <col min="4358" max="4358" width="10.28515625" style="10" bestFit="1" customWidth="1"/>
    <col min="4359" max="4607" width="9.140625" style="10"/>
    <col min="4608" max="4608" width="47" style="10" customWidth="1"/>
    <col min="4609" max="4609" width="3.140625" style="10" customWidth="1"/>
    <col min="4610" max="4610" width="11.42578125" style="10" customWidth="1"/>
    <col min="4611" max="4611" width="3.140625" style="10" customWidth="1"/>
    <col min="4612" max="4613" width="9.140625" style="10"/>
    <col min="4614" max="4614" width="10.28515625" style="10" bestFit="1" customWidth="1"/>
    <col min="4615" max="4863" width="9.140625" style="10"/>
    <col min="4864" max="4864" width="47" style="10" customWidth="1"/>
    <col min="4865" max="4865" width="3.140625" style="10" customWidth="1"/>
    <col min="4866" max="4866" width="11.42578125" style="10" customWidth="1"/>
    <col min="4867" max="4867" width="3.140625" style="10" customWidth="1"/>
    <col min="4868" max="4869" width="9.140625" style="10"/>
    <col min="4870" max="4870" width="10.28515625" style="10" bestFit="1" customWidth="1"/>
    <col min="4871" max="5119" width="9.140625" style="10"/>
    <col min="5120" max="5120" width="47" style="10" customWidth="1"/>
    <col min="5121" max="5121" width="3.140625" style="10" customWidth="1"/>
    <col min="5122" max="5122" width="11.42578125" style="10" customWidth="1"/>
    <col min="5123" max="5123" width="3.140625" style="10" customWidth="1"/>
    <col min="5124" max="5125" width="9.140625" style="10"/>
    <col min="5126" max="5126" width="10.28515625" style="10" bestFit="1" customWidth="1"/>
    <col min="5127" max="5375" width="9.140625" style="10"/>
    <col min="5376" max="5376" width="47" style="10" customWidth="1"/>
    <col min="5377" max="5377" width="3.140625" style="10" customWidth="1"/>
    <col min="5378" max="5378" width="11.42578125" style="10" customWidth="1"/>
    <col min="5379" max="5379" width="3.140625" style="10" customWidth="1"/>
    <col min="5380" max="5381" width="9.140625" style="10"/>
    <col min="5382" max="5382" width="10.28515625" style="10" bestFit="1" customWidth="1"/>
    <col min="5383" max="5631" width="9.140625" style="10"/>
    <col min="5632" max="5632" width="47" style="10" customWidth="1"/>
    <col min="5633" max="5633" width="3.140625" style="10" customWidth="1"/>
    <col min="5634" max="5634" width="11.42578125" style="10" customWidth="1"/>
    <col min="5635" max="5635" width="3.140625" style="10" customWidth="1"/>
    <col min="5636" max="5637" width="9.140625" style="10"/>
    <col min="5638" max="5638" width="10.28515625" style="10" bestFit="1" customWidth="1"/>
    <col min="5639" max="5887" width="9.140625" style="10"/>
    <col min="5888" max="5888" width="47" style="10" customWidth="1"/>
    <col min="5889" max="5889" width="3.140625" style="10" customWidth="1"/>
    <col min="5890" max="5890" width="11.42578125" style="10" customWidth="1"/>
    <col min="5891" max="5891" width="3.140625" style="10" customWidth="1"/>
    <col min="5892" max="5893" width="9.140625" style="10"/>
    <col min="5894" max="5894" width="10.28515625" style="10" bestFit="1" customWidth="1"/>
    <col min="5895" max="6143" width="9.140625" style="10"/>
    <col min="6144" max="6144" width="47" style="10" customWidth="1"/>
    <col min="6145" max="6145" width="3.140625" style="10" customWidth="1"/>
    <col min="6146" max="6146" width="11.42578125" style="10" customWidth="1"/>
    <col min="6147" max="6147" width="3.140625" style="10" customWidth="1"/>
    <col min="6148" max="6149" width="9.140625" style="10"/>
    <col min="6150" max="6150" width="10.28515625" style="10" bestFit="1" customWidth="1"/>
    <col min="6151" max="6399" width="9.140625" style="10"/>
    <col min="6400" max="6400" width="47" style="10" customWidth="1"/>
    <col min="6401" max="6401" width="3.140625" style="10" customWidth="1"/>
    <col min="6402" max="6402" width="11.42578125" style="10" customWidth="1"/>
    <col min="6403" max="6403" width="3.140625" style="10" customWidth="1"/>
    <col min="6404" max="6405" width="9.140625" style="10"/>
    <col min="6406" max="6406" width="10.28515625" style="10" bestFit="1" customWidth="1"/>
    <col min="6407" max="6655" width="9.140625" style="10"/>
    <col min="6656" max="6656" width="47" style="10" customWidth="1"/>
    <col min="6657" max="6657" width="3.140625" style="10" customWidth="1"/>
    <col min="6658" max="6658" width="11.42578125" style="10" customWidth="1"/>
    <col min="6659" max="6659" width="3.140625" style="10" customWidth="1"/>
    <col min="6660" max="6661" width="9.140625" style="10"/>
    <col min="6662" max="6662" width="10.28515625" style="10" bestFit="1" customWidth="1"/>
    <col min="6663" max="6911" width="9.140625" style="10"/>
    <col min="6912" max="6912" width="47" style="10" customWidth="1"/>
    <col min="6913" max="6913" width="3.140625" style="10" customWidth="1"/>
    <col min="6914" max="6914" width="11.42578125" style="10" customWidth="1"/>
    <col min="6915" max="6915" width="3.140625" style="10" customWidth="1"/>
    <col min="6916" max="6917" width="9.140625" style="10"/>
    <col min="6918" max="6918" width="10.28515625" style="10" bestFit="1" customWidth="1"/>
    <col min="6919" max="7167" width="9.140625" style="10"/>
    <col min="7168" max="7168" width="47" style="10" customWidth="1"/>
    <col min="7169" max="7169" width="3.140625" style="10" customWidth="1"/>
    <col min="7170" max="7170" width="11.42578125" style="10" customWidth="1"/>
    <col min="7171" max="7171" width="3.140625" style="10" customWidth="1"/>
    <col min="7172" max="7173" width="9.140625" style="10"/>
    <col min="7174" max="7174" width="10.28515625" style="10" bestFit="1" customWidth="1"/>
    <col min="7175" max="7423" width="9.140625" style="10"/>
    <col min="7424" max="7424" width="47" style="10" customWidth="1"/>
    <col min="7425" max="7425" width="3.140625" style="10" customWidth="1"/>
    <col min="7426" max="7426" width="11.42578125" style="10" customWidth="1"/>
    <col min="7427" max="7427" width="3.140625" style="10" customWidth="1"/>
    <col min="7428" max="7429" width="9.140625" style="10"/>
    <col min="7430" max="7430" width="10.28515625" style="10" bestFit="1" customWidth="1"/>
    <col min="7431" max="7679" width="9.140625" style="10"/>
    <col min="7680" max="7680" width="47" style="10" customWidth="1"/>
    <col min="7681" max="7681" width="3.140625" style="10" customWidth="1"/>
    <col min="7682" max="7682" width="11.42578125" style="10" customWidth="1"/>
    <col min="7683" max="7683" width="3.140625" style="10" customWidth="1"/>
    <col min="7684" max="7685" width="9.140625" style="10"/>
    <col min="7686" max="7686" width="10.28515625" style="10" bestFit="1" customWidth="1"/>
    <col min="7687" max="7935" width="9.140625" style="10"/>
    <col min="7936" max="7936" width="47" style="10" customWidth="1"/>
    <col min="7937" max="7937" width="3.140625" style="10" customWidth="1"/>
    <col min="7938" max="7938" width="11.42578125" style="10" customWidth="1"/>
    <col min="7939" max="7939" width="3.140625" style="10" customWidth="1"/>
    <col min="7940" max="7941" width="9.140625" style="10"/>
    <col min="7942" max="7942" width="10.28515625" style="10" bestFit="1" customWidth="1"/>
    <col min="7943" max="8191" width="9.140625" style="10"/>
    <col min="8192" max="8192" width="47" style="10" customWidth="1"/>
    <col min="8193" max="8193" width="3.140625" style="10" customWidth="1"/>
    <col min="8194" max="8194" width="11.42578125" style="10" customWidth="1"/>
    <col min="8195" max="8195" width="3.140625" style="10" customWidth="1"/>
    <col min="8196" max="8197" width="9.140625" style="10"/>
    <col min="8198" max="8198" width="10.28515625" style="10" bestFit="1" customWidth="1"/>
    <col min="8199" max="8447" width="9.140625" style="10"/>
    <col min="8448" max="8448" width="47" style="10" customWidth="1"/>
    <col min="8449" max="8449" width="3.140625" style="10" customWidth="1"/>
    <col min="8450" max="8450" width="11.42578125" style="10" customWidth="1"/>
    <col min="8451" max="8451" width="3.140625" style="10" customWidth="1"/>
    <col min="8452" max="8453" width="9.140625" style="10"/>
    <col min="8454" max="8454" width="10.28515625" style="10" bestFit="1" customWidth="1"/>
    <col min="8455" max="8703" width="9.140625" style="10"/>
    <col min="8704" max="8704" width="47" style="10" customWidth="1"/>
    <col min="8705" max="8705" width="3.140625" style="10" customWidth="1"/>
    <col min="8706" max="8706" width="11.42578125" style="10" customWidth="1"/>
    <col min="8707" max="8707" width="3.140625" style="10" customWidth="1"/>
    <col min="8708" max="8709" width="9.140625" style="10"/>
    <col min="8710" max="8710" width="10.28515625" style="10" bestFit="1" customWidth="1"/>
    <col min="8711" max="8959" width="9.140625" style="10"/>
    <col min="8960" max="8960" width="47" style="10" customWidth="1"/>
    <col min="8961" max="8961" width="3.140625" style="10" customWidth="1"/>
    <col min="8962" max="8962" width="11.42578125" style="10" customWidth="1"/>
    <col min="8963" max="8963" width="3.140625" style="10" customWidth="1"/>
    <col min="8964" max="8965" width="9.140625" style="10"/>
    <col min="8966" max="8966" width="10.28515625" style="10" bestFit="1" customWidth="1"/>
    <col min="8967" max="9215" width="9.140625" style="10"/>
    <col min="9216" max="9216" width="47" style="10" customWidth="1"/>
    <col min="9217" max="9217" width="3.140625" style="10" customWidth="1"/>
    <col min="9218" max="9218" width="11.42578125" style="10" customWidth="1"/>
    <col min="9219" max="9219" width="3.140625" style="10" customWidth="1"/>
    <col min="9220" max="9221" width="9.140625" style="10"/>
    <col min="9222" max="9222" width="10.28515625" style="10" bestFit="1" customWidth="1"/>
    <col min="9223" max="9471" width="9.140625" style="10"/>
    <col min="9472" max="9472" width="47" style="10" customWidth="1"/>
    <col min="9473" max="9473" width="3.140625" style="10" customWidth="1"/>
    <col min="9474" max="9474" width="11.42578125" style="10" customWidth="1"/>
    <col min="9475" max="9475" width="3.140625" style="10" customWidth="1"/>
    <col min="9476" max="9477" width="9.140625" style="10"/>
    <col min="9478" max="9478" width="10.28515625" style="10" bestFit="1" customWidth="1"/>
    <col min="9479" max="9727" width="9.140625" style="10"/>
    <col min="9728" max="9728" width="47" style="10" customWidth="1"/>
    <col min="9729" max="9729" width="3.140625" style="10" customWidth="1"/>
    <col min="9730" max="9730" width="11.42578125" style="10" customWidth="1"/>
    <col min="9731" max="9731" width="3.140625" style="10" customWidth="1"/>
    <col min="9732" max="9733" width="9.140625" style="10"/>
    <col min="9734" max="9734" width="10.28515625" style="10" bestFit="1" customWidth="1"/>
    <col min="9735" max="9983" width="9.140625" style="10"/>
    <col min="9984" max="9984" width="47" style="10" customWidth="1"/>
    <col min="9985" max="9985" width="3.140625" style="10" customWidth="1"/>
    <col min="9986" max="9986" width="11.42578125" style="10" customWidth="1"/>
    <col min="9987" max="9987" width="3.140625" style="10" customWidth="1"/>
    <col min="9988" max="9989" width="9.140625" style="10"/>
    <col min="9990" max="9990" width="10.28515625" style="10" bestFit="1" customWidth="1"/>
    <col min="9991" max="10239" width="9.140625" style="10"/>
    <col min="10240" max="10240" width="47" style="10" customWidth="1"/>
    <col min="10241" max="10241" width="3.140625" style="10" customWidth="1"/>
    <col min="10242" max="10242" width="11.42578125" style="10" customWidth="1"/>
    <col min="10243" max="10243" width="3.140625" style="10" customWidth="1"/>
    <col min="10244" max="10245" width="9.140625" style="10"/>
    <col min="10246" max="10246" width="10.28515625" style="10" bestFit="1" customWidth="1"/>
    <col min="10247" max="10495" width="9.140625" style="10"/>
    <col min="10496" max="10496" width="47" style="10" customWidth="1"/>
    <col min="10497" max="10497" width="3.140625" style="10" customWidth="1"/>
    <col min="10498" max="10498" width="11.42578125" style="10" customWidth="1"/>
    <col min="10499" max="10499" width="3.140625" style="10" customWidth="1"/>
    <col min="10500" max="10501" width="9.140625" style="10"/>
    <col min="10502" max="10502" width="10.28515625" style="10" bestFit="1" customWidth="1"/>
    <col min="10503" max="10751" width="9.140625" style="10"/>
    <col min="10752" max="10752" width="47" style="10" customWidth="1"/>
    <col min="10753" max="10753" width="3.140625" style="10" customWidth="1"/>
    <col min="10754" max="10754" width="11.42578125" style="10" customWidth="1"/>
    <col min="10755" max="10755" width="3.140625" style="10" customWidth="1"/>
    <col min="10756" max="10757" width="9.140625" style="10"/>
    <col min="10758" max="10758" width="10.28515625" style="10" bestFit="1" customWidth="1"/>
    <col min="10759" max="11007" width="9.140625" style="10"/>
    <col min="11008" max="11008" width="47" style="10" customWidth="1"/>
    <col min="11009" max="11009" width="3.140625" style="10" customWidth="1"/>
    <col min="11010" max="11010" width="11.42578125" style="10" customWidth="1"/>
    <col min="11011" max="11011" width="3.140625" style="10" customWidth="1"/>
    <col min="11012" max="11013" width="9.140625" style="10"/>
    <col min="11014" max="11014" width="10.28515625" style="10" bestFit="1" customWidth="1"/>
    <col min="11015" max="11263" width="9.140625" style="10"/>
    <col min="11264" max="11264" width="47" style="10" customWidth="1"/>
    <col min="11265" max="11265" width="3.140625" style="10" customWidth="1"/>
    <col min="11266" max="11266" width="11.42578125" style="10" customWidth="1"/>
    <col min="11267" max="11267" width="3.140625" style="10" customWidth="1"/>
    <col min="11268" max="11269" width="9.140625" style="10"/>
    <col min="11270" max="11270" width="10.28515625" style="10" bestFit="1" customWidth="1"/>
    <col min="11271" max="11519" width="9.140625" style="10"/>
    <col min="11520" max="11520" width="47" style="10" customWidth="1"/>
    <col min="11521" max="11521" width="3.140625" style="10" customWidth="1"/>
    <col min="11522" max="11522" width="11.42578125" style="10" customWidth="1"/>
    <col min="11523" max="11523" width="3.140625" style="10" customWidth="1"/>
    <col min="11524" max="11525" width="9.140625" style="10"/>
    <col min="11526" max="11526" width="10.28515625" style="10" bestFit="1" customWidth="1"/>
    <col min="11527" max="11775" width="9.140625" style="10"/>
    <col min="11776" max="11776" width="47" style="10" customWidth="1"/>
    <col min="11777" max="11777" width="3.140625" style="10" customWidth="1"/>
    <col min="11778" max="11778" width="11.42578125" style="10" customWidth="1"/>
    <col min="11779" max="11779" width="3.140625" style="10" customWidth="1"/>
    <col min="11780" max="11781" width="9.140625" style="10"/>
    <col min="11782" max="11782" width="10.28515625" style="10" bestFit="1" customWidth="1"/>
    <col min="11783" max="12031" width="9.140625" style="10"/>
    <col min="12032" max="12032" width="47" style="10" customWidth="1"/>
    <col min="12033" max="12033" width="3.140625" style="10" customWidth="1"/>
    <col min="12034" max="12034" width="11.42578125" style="10" customWidth="1"/>
    <col min="12035" max="12035" width="3.140625" style="10" customWidth="1"/>
    <col min="12036" max="12037" width="9.140625" style="10"/>
    <col min="12038" max="12038" width="10.28515625" style="10" bestFit="1" customWidth="1"/>
    <col min="12039" max="12287" width="9.140625" style="10"/>
    <col min="12288" max="12288" width="47" style="10" customWidth="1"/>
    <col min="12289" max="12289" width="3.140625" style="10" customWidth="1"/>
    <col min="12290" max="12290" width="11.42578125" style="10" customWidth="1"/>
    <col min="12291" max="12291" width="3.140625" style="10" customWidth="1"/>
    <col min="12292" max="12293" width="9.140625" style="10"/>
    <col min="12294" max="12294" width="10.28515625" style="10" bestFit="1" customWidth="1"/>
    <col min="12295" max="12543" width="9.140625" style="10"/>
    <col min="12544" max="12544" width="47" style="10" customWidth="1"/>
    <col min="12545" max="12545" width="3.140625" style="10" customWidth="1"/>
    <col min="12546" max="12546" width="11.42578125" style="10" customWidth="1"/>
    <col min="12547" max="12547" width="3.140625" style="10" customWidth="1"/>
    <col min="12548" max="12549" width="9.140625" style="10"/>
    <col min="12550" max="12550" width="10.28515625" style="10" bestFit="1" customWidth="1"/>
    <col min="12551" max="12799" width="9.140625" style="10"/>
    <col min="12800" max="12800" width="47" style="10" customWidth="1"/>
    <col min="12801" max="12801" width="3.140625" style="10" customWidth="1"/>
    <col min="12802" max="12802" width="11.42578125" style="10" customWidth="1"/>
    <col min="12803" max="12803" width="3.140625" style="10" customWidth="1"/>
    <col min="12804" max="12805" width="9.140625" style="10"/>
    <col min="12806" max="12806" width="10.28515625" style="10" bestFit="1" customWidth="1"/>
    <col min="12807" max="13055" width="9.140625" style="10"/>
    <col min="13056" max="13056" width="47" style="10" customWidth="1"/>
    <col min="13057" max="13057" width="3.140625" style="10" customWidth="1"/>
    <col min="13058" max="13058" width="11.42578125" style="10" customWidth="1"/>
    <col min="13059" max="13059" width="3.140625" style="10" customWidth="1"/>
    <col min="13060" max="13061" width="9.140625" style="10"/>
    <col min="13062" max="13062" width="10.28515625" style="10" bestFit="1" customWidth="1"/>
    <col min="13063" max="13311" width="9.140625" style="10"/>
    <col min="13312" max="13312" width="47" style="10" customWidth="1"/>
    <col min="13313" max="13313" width="3.140625" style="10" customWidth="1"/>
    <col min="13314" max="13314" width="11.42578125" style="10" customWidth="1"/>
    <col min="13315" max="13315" width="3.140625" style="10" customWidth="1"/>
    <col min="13316" max="13317" width="9.140625" style="10"/>
    <col min="13318" max="13318" width="10.28515625" style="10" bestFit="1" customWidth="1"/>
    <col min="13319" max="13567" width="9.140625" style="10"/>
    <col min="13568" max="13568" width="47" style="10" customWidth="1"/>
    <col min="13569" max="13569" width="3.140625" style="10" customWidth="1"/>
    <col min="13570" max="13570" width="11.42578125" style="10" customWidth="1"/>
    <col min="13571" max="13571" width="3.140625" style="10" customWidth="1"/>
    <col min="13572" max="13573" width="9.140625" style="10"/>
    <col min="13574" max="13574" width="10.28515625" style="10" bestFit="1" customWidth="1"/>
    <col min="13575" max="13823" width="9.140625" style="10"/>
    <col min="13824" max="13824" width="47" style="10" customWidth="1"/>
    <col min="13825" max="13825" width="3.140625" style="10" customWidth="1"/>
    <col min="13826" max="13826" width="11.42578125" style="10" customWidth="1"/>
    <col min="13827" max="13827" width="3.140625" style="10" customWidth="1"/>
    <col min="13828" max="13829" width="9.140625" style="10"/>
    <col min="13830" max="13830" width="10.28515625" style="10" bestFit="1" customWidth="1"/>
    <col min="13831" max="14079" width="9.140625" style="10"/>
    <col min="14080" max="14080" width="47" style="10" customWidth="1"/>
    <col min="14081" max="14081" width="3.140625" style="10" customWidth="1"/>
    <col min="14082" max="14082" width="11.42578125" style="10" customWidth="1"/>
    <col min="14083" max="14083" width="3.140625" style="10" customWidth="1"/>
    <col min="14084" max="14085" width="9.140625" style="10"/>
    <col min="14086" max="14086" width="10.28515625" style="10" bestFit="1" customWidth="1"/>
    <col min="14087" max="14335" width="9.140625" style="10"/>
    <col min="14336" max="14336" width="47" style="10" customWidth="1"/>
    <col min="14337" max="14337" width="3.140625" style="10" customWidth="1"/>
    <col min="14338" max="14338" width="11.42578125" style="10" customWidth="1"/>
    <col min="14339" max="14339" width="3.140625" style="10" customWidth="1"/>
    <col min="14340" max="14341" width="9.140625" style="10"/>
    <col min="14342" max="14342" width="10.28515625" style="10" bestFit="1" customWidth="1"/>
    <col min="14343" max="14591" width="9.140625" style="10"/>
    <col min="14592" max="14592" width="47" style="10" customWidth="1"/>
    <col min="14593" max="14593" width="3.140625" style="10" customWidth="1"/>
    <col min="14594" max="14594" width="11.42578125" style="10" customWidth="1"/>
    <col min="14595" max="14595" width="3.140625" style="10" customWidth="1"/>
    <col min="14596" max="14597" width="9.140625" style="10"/>
    <col min="14598" max="14598" width="10.28515625" style="10" bestFit="1" customWidth="1"/>
    <col min="14599" max="14847" width="9.140625" style="10"/>
    <col min="14848" max="14848" width="47" style="10" customWidth="1"/>
    <col min="14849" max="14849" width="3.140625" style="10" customWidth="1"/>
    <col min="14850" max="14850" width="11.42578125" style="10" customWidth="1"/>
    <col min="14851" max="14851" width="3.140625" style="10" customWidth="1"/>
    <col min="14852" max="14853" width="9.140625" style="10"/>
    <col min="14854" max="14854" width="10.28515625" style="10" bestFit="1" customWidth="1"/>
    <col min="14855" max="15103" width="9.140625" style="10"/>
    <col min="15104" max="15104" width="47" style="10" customWidth="1"/>
    <col min="15105" max="15105" width="3.140625" style="10" customWidth="1"/>
    <col min="15106" max="15106" width="11.42578125" style="10" customWidth="1"/>
    <col min="15107" max="15107" width="3.140625" style="10" customWidth="1"/>
    <col min="15108" max="15109" width="9.140625" style="10"/>
    <col min="15110" max="15110" width="10.28515625" style="10" bestFit="1" customWidth="1"/>
    <col min="15111" max="15359" width="9.140625" style="10"/>
    <col min="15360" max="15360" width="47" style="10" customWidth="1"/>
    <col min="15361" max="15361" width="3.140625" style="10" customWidth="1"/>
    <col min="15362" max="15362" width="11.42578125" style="10" customWidth="1"/>
    <col min="15363" max="15363" width="3.140625" style="10" customWidth="1"/>
    <col min="15364" max="15365" width="9.140625" style="10"/>
    <col min="15366" max="15366" width="10.28515625" style="10" bestFit="1" customWidth="1"/>
    <col min="15367" max="15615" width="9.140625" style="10"/>
    <col min="15616" max="15616" width="47" style="10" customWidth="1"/>
    <col min="15617" max="15617" width="3.140625" style="10" customWidth="1"/>
    <col min="15618" max="15618" width="11.42578125" style="10" customWidth="1"/>
    <col min="15619" max="15619" width="3.140625" style="10" customWidth="1"/>
    <col min="15620" max="15621" width="9.140625" style="10"/>
    <col min="15622" max="15622" width="10.28515625" style="10" bestFit="1" customWidth="1"/>
    <col min="15623" max="15871" width="9.140625" style="10"/>
    <col min="15872" max="15872" width="47" style="10" customWidth="1"/>
    <col min="15873" max="15873" width="3.140625" style="10" customWidth="1"/>
    <col min="15874" max="15874" width="11.42578125" style="10" customWidth="1"/>
    <col min="15875" max="15875" width="3.140625" style="10" customWidth="1"/>
    <col min="15876" max="15877" width="9.140625" style="10"/>
    <col min="15878" max="15878" width="10.28515625" style="10" bestFit="1" customWidth="1"/>
    <col min="15879" max="16127" width="9.140625" style="10"/>
    <col min="16128" max="16128" width="47" style="10" customWidth="1"/>
    <col min="16129" max="16129" width="3.140625" style="10" customWidth="1"/>
    <col min="16130" max="16130" width="11.42578125" style="10" customWidth="1"/>
    <col min="16131" max="16131" width="3.140625" style="10" customWidth="1"/>
    <col min="16132" max="16133" width="9.140625" style="10"/>
    <col min="16134" max="16134" width="10.28515625" style="10" bestFit="1" customWidth="1"/>
    <col min="16135" max="16384" width="9.140625" style="10"/>
  </cols>
  <sheetData>
    <row r="1" spans="1:4" ht="20.25">
      <c r="A1" s="21" t="s">
        <v>123</v>
      </c>
      <c r="B1" s="23"/>
      <c r="C1" s="22"/>
      <c r="D1" s="22"/>
    </row>
    <row r="2" spans="1:4" ht="20.25">
      <c r="A2" s="21" t="s">
        <v>234</v>
      </c>
      <c r="B2" s="23"/>
      <c r="C2" s="22"/>
      <c r="D2" s="22"/>
    </row>
    <row r="3" spans="1:4" ht="20.25">
      <c r="A3" s="21" t="s">
        <v>0</v>
      </c>
      <c r="B3" s="23"/>
      <c r="C3" s="22"/>
      <c r="D3" s="22"/>
    </row>
    <row r="4" spans="1:4" ht="20.25">
      <c r="A4" s="22"/>
      <c r="B4" s="23"/>
      <c r="C4" s="22"/>
      <c r="D4" s="22"/>
    </row>
    <row r="5" spans="1:4" ht="20.25">
      <c r="A5" s="21" t="s">
        <v>1</v>
      </c>
      <c r="B5" s="23"/>
      <c r="C5" s="22"/>
      <c r="D5" s="22"/>
    </row>
    <row r="6" spans="1:4" ht="20.25">
      <c r="A6" s="24"/>
      <c r="B6" s="23"/>
      <c r="C6" s="22"/>
      <c r="D6" s="22"/>
    </row>
    <row r="7" spans="1:4" ht="20.25">
      <c r="A7" s="22" t="s">
        <v>247</v>
      </c>
      <c r="B7" s="23">
        <v>10000</v>
      </c>
      <c r="C7" s="22"/>
      <c r="D7" s="22"/>
    </row>
    <row r="8" spans="1:4" ht="20.25">
      <c r="A8" s="22" t="s">
        <v>246</v>
      </c>
      <c r="B8" s="23">
        <v>2500</v>
      </c>
      <c r="C8" s="22"/>
      <c r="D8" s="22"/>
    </row>
    <row r="9" spans="1:4" ht="20.25">
      <c r="A9" s="22" t="s">
        <v>256</v>
      </c>
      <c r="B9" s="23">
        <v>2500</v>
      </c>
      <c r="C9" s="22"/>
      <c r="D9" s="22"/>
    </row>
    <row r="10" spans="1:4" ht="20.25">
      <c r="A10" s="22" t="s">
        <v>137</v>
      </c>
      <c r="B10" s="23">
        <v>2500</v>
      </c>
      <c r="C10" s="22"/>
      <c r="D10" s="22"/>
    </row>
    <row r="11" spans="1:4" ht="20.25">
      <c r="A11" s="22" t="s">
        <v>257</v>
      </c>
      <c r="B11" s="23">
        <v>2000</v>
      </c>
      <c r="C11" s="22"/>
      <c r="D11" s="22"/>
    </row>
    <row r="12" spans="1:4" ht="20.25">
      <c r="A12" s="22" t="s">
        <v>136</v>
      </c>
      <c r="B12" s="26">
        <v>1800</v>
      </c>
      <c r="C12" s="22"/>
      <c r="D12" s="22"/>
    </row>
    <row r="13" spans="1:4" ht="20.25">
      <c r="A13" s="21" t="s">
        <v>19</v>
      </c>
      <c r="B13" s="61">
        <f>SUM(B7:B12)</f>
        <v>21300</v>
      </c>
      <c r="C13" s="22"/>
      <c r="D13" s="22"/>
    </row>
    <row r="14" spans="1:4" ht="20.25">
      <c r="A14" s="22"/>
      <c r="B14" s="23"/>
      <c r="C14" s="22"/>
      <c r="D14" s="22"/>
    </row>
    <row r="15" spans="1:4" ht="20.25">
      <c r="A15" s="21" t="s">
        <v>106</v>
      </c>
      <c r="B15" s="23"/>
      <c r="C15" s="22"/>
      <c r="D15" s="22"/>
    </row>
    <row r="16" spans="1:4" ht="20.25">
      <c r="A16" s="21"/>
      <c r="B16" s="23"/>
      <c r="C16" s="22"/>
      <c r="D16" s="22"/>
    </row>
    <row r="17" spans="1:4" ht="20.25">
      <c r="A17" s="24" t="s">
        <v>249</v>
      </c>
      <c r="B17" s="23"/>
      <c r="C17" s="22"/>
      <c r="D17" s="22"/>
    </row>
    <row r="18" spans="1:4" s="13" customFormat="1" ht="20.25">
      <c r="A18" s="22" t="s">
        <v>157</v>
      </c>
      <c r="B18" s="29">
        <f>7*4*16*12-6</f>
        <v>5370</v>
      </c>
      <c r="C18" s="22" t="s">
        <v>127</v>
      </c>
      <c r="D18" s="22"/>
    </row>
    <row r="19" spans="1:4" ht="20.25">
      <c r="A19" s="22" t="s">
        <v>144</v>
      </c>
      <c r="B19" s="23">
        <f>7*250</f>
        <v>1750</v>
      </c>
      <c r="C19" s="22" t="s">
        <v>129</v>
      </c>
      <c r="D19" s="22"/>
    </row>
    <row r="20" spans="1:4" ht="20.25">
      <c r="A20" s="22" t="s">
        <v>235</v>
      </c>
      <c r="B20" s="23">
        <v>1200</v>
      </c>
      <c r="C20" s="22"/>
      <c r="D20" s="22"/>
    </row>
    <row r="21" spans="1:4" ht="20.25">
      <c r="A21" s="22" t="s">
        <v>243</v>
      </c>
      <c r="B21" s="23">
        <f>5*2*2*50</f>
        <v>1000</v>
      </c>
      <c r="C21" s="22" t="s">
        <v>131</v>
      </c>
      <c r="D21" s="22"/>
    </row>
    <row r="22" spans="1:4" ht="20.25">
      <c r="A22" s="22" t="s">
        <v>189</v>
      </c>
      <c r="B22" s="26">
        <v>500</v>
      </c>
      <c r="C22" s="22"/>
      <c r="D22" s="22"/>
    </row>
    <row r="23" spans="1:4" ht="20.25">
      <c r="A23" s="24" t="s">
        <v>250</v>
      </c>
      <c r="B23" s="57">
        <f>SUM(B18:B22)</f>
        <v>9820</v>
      </c>
      <c r="C23" s="22"/>
      <c r="D23" s="22"/>
    </row>
    <row r="24" spans="1:4" ht="20.25">
      <c r="A24" s="22"/>
      <c r="B24" s="23"/>
      <c r="C24" s="22"/>
      <c r="D24" s="22"/>
    </row>
    <row r="25" spans="1:4" ht="20.25">
      <c r="A25" s="24" t="s">
        <v>223</v>
      </c>
      <c r="B25" s="23"/>
      <c r="C25" s="22"/>
      <c r="D25" s="22"/>
    </row>
    <row r="26" spans="1:4" ht="20.25">
      <c r="A26" s="22" t="s">
        <v>237</v>
      </c>
      <c r="B26" s="23">
        <v>930</v>
      </c>
      <c r="C26" s="22"/>
      <c r="D26" s="22"/>
    </row>
    <row r="27" spans="1:4" ht="20.25">
      <c r="A27" s="22" t="s">
        <v>145</v>
      </c>
      <c r="B27" s="26">
        <v>100</v>
      </c>
      <c r="C27" s="22"/>
      <c r="D27" s="22"/>
    </row>
    <row r="28" spans="1:4" ht="20.25">
      <c r="A28" s="24" t="s">
        <v>251</v>
      </c>
      <c r="B28" s="58">
        <f>SUM(B26:B27)</f>
        <v>1030</v>
      </c>
      <c r="C28" s="22"/>
      <c r="D28" s="22"/>
    </row>
    <row r="29" spans="1:4" ht="20.25">
      <c r="A29" s="22"/>
      <c r="B29" s="25"/>
      <c r="C29" s="22"/>
      <c r="D29" s="22"/>
    </row>
    <row r="30" spans="1:4" ht="20.25">
      <c r="A30" s="24" t="s">
        <v>239</v>
      </c>
      <c r="B30" s="25"/>
      <c r="C30" s="22"/>
      <c r="D30" s="22"/>
    </row>
    <row r="31" spans="1:4" ht="20.25">
      <c r="A31" s="22" t="s">
        <v>241</v>
      </c>
      <c r="B31" s="25">
        <v>1600</v>
      </c>
      <c r="C31" s="22"/>
      <c r="D31" s="22"/>
    </row>
    <row r="32" spans="1:4" ht="20.25">
      <c r="A32" s="22" t="s">
        <v>242</v>
      </c>
      <c r="B32" s="23">
        <v>1100</v>
      </c>
      <c r="C32" s="22"/>
      <c r="D32" s="22"/>
    </row>
    <row r="33" spans="1:4" ht="20.25">
      <c r="A33" s="22" t="s">
        <v>240</v>
      </c>
      <c r="B33" s="25">
        <v>1000</v>
      </c>
      <c r="C33" s="22"/>
      <c r="D33" s="22"/>
    </row>
    <row r="34" spans="1:4" ht="20.25">
      <c r="A34" s="22" t="s">
        <v>245</v>
      </c>
      <c r="B34" s="23">
        <v>1000</v>
      </c>
      <c r="C34" s="22"/>
      <c r="D34" s="22"/>
    </row>
    <row r="35" spans="1:4" ht="20.25">
      <c r="A35" s="22" t="s">
        <v>147</v>
      </c>
      <c r="B35" s="23">
        <v>400</v>
      </c>
      <c r="C35" s="22"/>
      <c r="D35" s="22"/>
    </row>
    <row r="36" spans="1:4" ht="20.25">
      <c r="A36" s="22" t="s">
        <v>238</v>
      </c>
      <c r="B36" s="23">
        <v>300</v>
      </c>
      <c r="C36" s="22"/>
      <c r="D36" s="22"/>
    </row>
    <row r="37" spans="1:4" ht="20.25">
      <c r="A37" s="22" t="s">
        <v>142</v>
      </c>
      <c r="B37" s="26">
        <v>100</v>
      </c>
      <c r="C37" s="22"/>
      <c r="D37" s="22"/>
    </row>
    <row r="38" spans="1:4" ht="20.25">
      <c r="A38" s="24" t="s">
        <v>219</v>
      </c>
      <c r="B38" s="57">
        <f>SUM(B31:B37)</f>
        <v>5500</v>
      </c>
      <c r="C38" s="22"/>
      <c r="D38" s="22"/>
    </row>
    <row r="39" spans="1:4" ht="20.25">
      <c r="A39" s="24"/>
      <c r="B39" s="57"/>
      <c r="C39" s="22"/>
      <c r="D39" s="22"/>
    </row>
    <row r="40" spans="1:4" ht="20.25">
      <c r="A40" s="22" t="s">
        <v>236</v>
      </c>
      <c r="B40" s="23">
        <v>4000</v>
      </c>
      <c r="C40" s="22"/>
      <c r="D40" s="22"/>
    </row>
    <row r="41" spans="1:4" ht="20.25">
      <c r="A41" s="22" t="s">
        <v>244</v>
      </c>
      <c r="B41" s="23">
        <v>600</v>
      </c>
      <c r="C41" s="22"/>
      <c r="D41" s="22"/>
    </row>
    <row r="42" spans="1:4" ht="20.25">
      <c r="A42" s="22" t="s">
        <v>248</v>
      </c>
      <c r="B42" s="23">
        <v>200</v>
      </c>
      <c r="C42" s="22"/>
      <c r="D42" s="22"/>
    </row>
    <row r="43" spans="1:4" ht="20.25">
      <c r="A43" s="22" t="s">
        <v>252</v>
      </c>
      <c r="B43" s="23">
        <v>150</v>
      </c>
      <c r="C43" s="22"/>
      <c r="D43" s="22"/>
    </row>
    <row r="44" spans="1:4" ht="20.25">
      <c r="A44" s="22"/>
      <c r="B44" s="23"/>
      <c r="C44" s="22"/>
      <c r="D44" s="22"/>
    </row>
    <row r="45" spans="1:4" ht="20.25">
      <c r="A45" s="21" t="s">
        <v>122</v>
      </c>
      <c r="B45" s="28">
        <f>B23+B28+B38+SUM(B40:B43)</f>
        <v>21300</v>
      </c>
      <c r="C45" s="22"/>
      <c r="D45" s="22"/>
    </row>
    <row r="46" spans="1:4" ht="20.25">
      <c r="A46" s="22"/>
      <c r="B46" s="23"/>
      <c r="C46" s="22"/>
      <c r="D46" s="22"/>
    </row>
    <row r="47" spans="1:4" ht="20.25">
      <c r="A47" s="21" t="s">
        <v>85</v>
      </c>
      <c r="B47" s="28">
        <f>B13-B45</f>
        <v>0</v>
      </c>
      <c r="C47" s="22"/>
      <c r="D47" s="22"/>
    </row>
    <row r="48" spans="1:4" ht="20.25">
      <c r="A48" s="21"/>
      <c r="B48" s="28"/>
      <c r="C48" s="22"/>
      <c r="D48" s="22"/>
    </row>
    <row r="49" spans="1:4" ht="20.25">
      <c r="A49" s="22" t="s">
        <v>253</v>
      </c>
    </row>
    <row r="50" spans="1:4" ht="20.25">
      <c r="A50" s="22" t="s">
        <v>254</v>
      </c>
      <c r="B50" s="23"/>
      <c r="C50" s="22"/>
      <c r="D50" s="22"/>
    </row>
    <row r="51" spans="1:4" ht="20.25">
      <c r="A51" s="22" t="s">
        <v>255</v>
      </c>
      <c r="B51" s="23"/>
      <c r="C51" s="22"/>
      <c r="D51" s="22"/>
    </row>
  </sheetData>
  <sortState ref="A26:B27">
    <sortCondition descending="1" ref="B26:B27"/>
  </sortState>
  <pageMargins left="0.75" right="0.75" top="1" bottom="1" header="0.5" footer="0.5"/>
  <pageSetup scale="5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opLeftCell="A16" workbookViewId="0">
      <selection activeCell="C31" sqref="C31"/>
    </sheetView>
  </sheetViews>
  <sheetFormatPr defaultRowHeight="15"/>
  <cols>
    <col min="1" max="1" width="64.42578125" style="10" customWidth="1"/>
    <col min="2" max="2" width="3.140625" style="10" customWidth="1"/>
    <col min="3" max="3" width="15.7109375" style="11" customWidth="1"/>
    <col min="4" max="4" width="5.140625" style="10" customWidth="1"/>
    <col min="5" max="6" width="9.140625" style="10"/>
    <col min="7" max="7" width="10.28515625" style="10" bestFit="1" customWidth="1"/>
    <col min="8" max="256" width="9.140625" style="10"/>
    <col min="257" max="257" width="47" style="10" customWidth="1"/>
    <col min="258" max="258" width="3.140625" style="10" customWidth="1"/>
    <col min="259" max="259" width="11.42578125" style="10" customWidth="1"/>
    <col min="260" max="260" width="3.140625" style="10" customWidth="1"/>
    <col min="261" max="262" width="9.140625" style="10"/>
    <col min="263" max="263" width="10.28515625" style="10" bestFit="1" customWidth="1"/>
    <col min="264" max="512" width="9.140625" style="10"/>
    <col min="513" max="513" width="47" style="10" customWidth="1"/>
    <col min="514" max="514" width="3.140625" style="10" customWidth="1"/>
    <col min="515" max="515" width="11.42578125" style="10" customWidth="1"/>
    <col min="516" max="516" width="3.140625" style="10" customWidth="1"/>
    <col min="517" max="518" width="9.140625" style="10"/>
    <col min="519" max="519" width="10.28515625" style="10" bestFit="1" customWidth="1"/>
    <col min="520" max="768" width="9.140625" style="10"/>
    <col min="769" max="769" width="47" style="10" customWidth="1"/>
    <col min="770" max="770" width="3.140625" style="10" customWidth="1"/>
    <col min="771" max="771" width="11.42578125" style="10" customWidth="1"/>
    <col min="772" max="772" width="3.140625" style="10" customWidth="1"/>
    <col min="773" max="774" width="9.140625" style="10"/>
    <col min="775" max="775" width="10.28515625" style="10" bestFit="1" customWidth="1"/>
    <col min="776" max="1024" width="9.140625" style="10"/>
    <col min="1025" max="1025" width="47" style="10" customWidth="1"/>
    <col min="1026" max="1026" width="3.140625" style="10" customWidth="1"/>
    <col min="1027" max="1027" width="11.42578125" style="10" customWidth="1"/>
    <col min="1028" max="1028" width="3.140625" style="10" customWidth="1"/>
    <col min="1029" max="1030" width="9.140625" style="10"/>
    <col min="1031" max="1031" width="10.28515625" style="10" bestFit="1" customWidth="1"/>
    <col min="1032" max="1280" width="9.140625" style="10"/>
    <col min="1281" max="1281" width="47" style="10" customWidth="1"/>
    <col min="1282" max="1282" width="3.140625" style="10" customWidth="1"/>
    <col min="1283" max="1283" width="11.42578125" style="10" customWidth="1"/>
    <col min="1284" max="1284" width="3.140625" style="10" customWidth="1"/>
    <col min="1285" max="1286" width="9.140625" style="10"/>
    <col min="1287" max="1287" width="10.28515625" style="10" bestFit="1" customWidth="1"/>
    <col min="1288" max="1536" width="9.140625" style="10"/>
    <col min="1537" max="1537" width="47" style="10" customWidth="1"/>
    <col min="1538" max="1538" width="3.140625" style="10" customWidth="1"/>
    <col min="1539" max="1539" width="11.42578125" style="10" customWidth="1"/>
    <col min="1540" max="1540" width="3.140625" style="10" customWidth="1"/>
    <col min="1541" max="1542" width="9.140625" style="10"/>
    <col min="1543" max="1543" width="10.28515625" style="10" bestFit="1" customWidth="1"/>
    <col min="1544" max="1792" width="9.140625" style="10"/>
    <col min="1793" max="1793" width="47" style="10" customWidth="1"/>
    <col min="1794" max="1794" width="3.140625" style="10" customWidth="1"/>
    <col min="1795" max="1795" width="11.42578125" style="10" customWidth="1"/>
    <col min="1796" max="1796" width="3.140625" style="10" customWidth="1"/>
    <col min="1797" max="1798" width="9.140625" style="10"/>
    <col min="1799" max="1799" width="10.28515625" style="10" bestFit="1" customWidth="1"/>
    <col min="1800" max="2048" width="9.140625" style="10"/>
    <col min="2049" max="2049" width="47" style="10" customWidth="1"/>
    <col min="2050" max="2050" width="3.140625" style="10" customWidth="1"/>
    <col min="2051" max="2051" width="11.42578125" style="10" customWidth="1"/>
    <col min="2052" max="2052" width="3.140625" style="10" customWidth="1"/>
    <col min="2053" max="2054" width="9.140625" style="10"/>
    <col min="2055" max="2055" width="10.28515625" style="10" bestFit="1" customWidth="1"/>
    <col min="2056" max="2304" width="9.140625" style="10"/>
    <col min="2305" max="2305" width="47" style="10" customWidth="1"/>
    <col min="2306" max="2306" width="3.140625" style="10" customWidth="1"/>
    <col min="2307" max="2307" width="11.42578125" style="10" customWidth="1"/>
    <col min="2308" max="2308" width="3.140625" style="10" customWidth="1"/>
    <col min="2309" max="2310" width="9.140625" style="10"/>
    <col min="2311" max="2311" width="10.28515625" style="10" bestFit="1" customWidth="1"/>
    <col min="2312" max="2560" width="9.140625" style="10"/>
    <col min="2561" max="2561" width="47" style="10" customWidth="1"/>
    <col min="2562" max="2562" width="3.140625" style="10" customWidth="1"/>
    <col min="2563" max="2563" width="11.42578125" style="10" customWidth="1"/>
    <col min="2564" max="2564" width="3.140625" style="10" customWidth="1"/>
    <col min="2565" max="2566" width="9.140625" style="10"/>
    <col min="2567" max="2567" width="10.28515625" style="10" bestFit="1" customWidth="1"/>
    <col min="2568" max="2816" width="9.140625" style="10"/>
    <col min="2817" max="2817" width="47" style="10" customWidth="1"/>
    <col min="2818" max="2818" width="3.140625" style="10" customWidth="1"/>
    <col min="2819" max="2819" width="11.42578125" style="10" customWidth="1"/>
    <col min="2820" max="2820" width="3.140625" style="10" customWidth="1"/>
    <col min="2821" max="2822" width="9.140625" style="10"/>
    <col min="2823" max="2823" width="10.28515625" style="10" bestFit="1" customWidth="1"/>
    <col min="2824" max="3072" width="9.140625" style="10"/>
    <col min="3073" max="3073" width="47" style="10" customWidth="1"/>
    <col min="3074" max="3074" width="3.140625" style="10" customWidth="1"/>
    <col min="3075" max="3075" width="11.42578125" style="10" customWidth="1"/>
    <col min="3076" max="3076" width="3.140625" style="10" customWidth="1"/>
    <col min="3077" max="3078" width="9.140625" style="10"/>
    <col min="3079" max="3079" width="10.28515625" style="10" bestFit="1" customWidth="1"/>
    <col min="3080" max="3328" width="9.140625" style="10"/>
    <col min="3329" max="3329" width="47" style="10" customWidth="1"/>
    <col min="3330" max="3330" width="3.140625" style="10" customWidth="1"/>
    <col min="3331" max="3331" width="11.42578125" style="10" customWidth="1"/>
    <col min="3332" max="3332" width="3.140625" style="10" customWidth="1"/>
    <col min="3333" max="3334" width="9.140625" style="10"/>
    <col min="3335" max="3335" width="10.28515625" style="10" bestFit="1" customWidth="1"/>
    <col min="3336" max="3584" width="9.140625" style="10"/>
    <col min="3585" max="3585" width="47" style="10" customWidth="1"/>
    <col min="3586" max="3586" width="3.140625" style="10" customWidth="1"/>
    <col min="3587" max="3587" width="11.42578125" style="10" customWidth="1"/>
    <col min="3588" max="3588" width="3.140625" style="10" customWidth="1"/>
    <col min="3589" max="3590" width="9.140625" style="10"/>
    <col min="3591" max="3591" width="10.28515625" style="10" bestFit="1" customWidth="1"/>
    <col min="3592" max="3840" width="9.140625" style="10"/>
    <col min="3841" max="3841" width="47" style="10" customWidth="1"/>
    <col min="3842" max="3842" width="3.140625" style="10" customWidth="1"/>
    <col min="3843" max="3843" width="11.42578125" style="10" customWidth="1"/>
    <col min="3844" max="3844" width="3.140625" style="10" customWidth="1"/>
    <col min="3845" max="3846" width="9.140625" style="10"/>
    <col min="3847" max="3847" width="10.28515625" style="10" bestFit="1" customWidth="1"/>
    <col min="3848" max="4096" width="9.140625" style="10"/>
    <col min="4097" max="4097" width="47" style="10" customWidth="1"/>
    <col min="4098" max="4098" width="3.140625" style="10" customWidth="1"/>
    <col min="4099" max="4099" width="11.42578125" style="10" customWidth="1"/>
    <col min="4100" max="4100" width="3.140625" style="10" customWidth="1"/>
    <col min="4101" max="4102" width="9.140625" style="10"/>
    <col min="4103" max="4103" width="10.28515625" style="10" bestFit="1" customWidth="1"/>
    <col min="4104" max="4352" width="9.140625" style="10"/>
    <col min="4353" max="4353" width="47" style="10" customWidth="1"/>
    <col min="4354" max="4354" width="3.140625" style="10" customWidth="1"/>
    <col min="4355" max="4355" width="11.42578125" style="10" customWidth="1"/>
    <col min="4356" max="4356" width="3.140625" style="10" customWidth="1"/>
    <col min="4357" max="4358" width="9.140625" style="10"/>
    <col min="4359" max="4359" width="10.28515625" style="10" bestFit="1" customWidth="1"/>
    <col min="4360" max="4608" width="9.140625" style="10"/>
    <col min="4609" max="4609" width="47" style="10" customWidth="1"/>
    <col min="4610" max="4610" width="3.140625" style="10" customWidth="1"/>
    <col min="4611" max="4611" width="11.42578125" style="10" customWidth="1"/>
    <col min="4612" max="4612" width="3.140625" style="10" customWidth="1"/>
    <col min="4613" max="4614" width="9.140625" style="10"/>
    <col min="4615" max="4615" width="10.28515625" style="10" bestFit="1" customWidth="1"/>
    <col min="4616" max="4864" width="9.140625" style="10"/>
    <col min="4865" max="4865" width="47" style="10" customWidth="1"/>
    <col min="4866" max="4866" width="3.140625" style="10" customWidth="1"/>
    <col min="4867" max="4867" width="11.42578125" style="10" customWidth="1"/>
    <col min="4868" max="4868" width="3.140625" style="10" customWidth="1"/>
    <col min="4869" max="4870" width="9.140625" style="10"/>
    <col min="4871" max="4871" width="10.28515625" style="10" bestFit="1" customWidth="1"/>
    <col min="4872" max="5120" width="9.140625" style="10"/>
    <col min="5121" max="5121" width="47" style="10" customWidth="1"/>
    <col min="5122" max="5122" width="3.140625" style="10" customWidth="1"/>
    <col min="5123" max="5123" width="11.42578125" style="10" customWidth="1"/>
    <col min="5124" max="5124" width="3.140625" style="10" customWidth="1"/>
    <col min="5125" max="5126" width="9.140625" style="10"/>
    <col min="5127" max="5127" width="10.28515625" style="10" bestFit="1" customWidth="1"/>
    <col min="5128" max="5376" width="9.140625" style="10"/>
    <col min="5377" max="5377" width="47" style="10" customWidth="1"/>
    <col min="5378" max="5378" width="3.140625" style="10" customWidth="1"/>
    <col min="5379" max="5379" width="11.42578125" style="10" customWidth="1"/>
    <col min="5380" max="5380" width="3.140625" style="10" customWidth="1"/>
    <col min="5381" max="5382" width="9.140625" style="10"/>
    <col min="5383" max="5383" width="10.28515625" style="10" bestFit="1" customWidth="1"/>
    <col min="5384" max="5632" width="9.140625" style="10"/>
    <col min="5633" max="5633" width="47" style="10" customWidth="1"/>
    <col min="5634" max="5634" width="3.140625" style="10" customWidth="1"/>
    <col min="5635" max="5635" width="11.42578125" style="10" customWidth="1"/>
    <col min="5636" max="5636" width="3.140625" style="10" customWidth="1"/>
    <col min="5637" max="5638" width="9.140625" style="10"/>
    <col min="5639" max="5639" width="10.28515625" style="10" bestFit="1" customWidth="1"/>
    <col min="5640" max="5888" width="9.140625" style="10"/>
    <col min="5889" max="5889" width="47" style="10" customWidth="1"/>
    <col min="5890" max="5890" width="3.140625" style="10" customWidth="1"/>
    <col min="5891" max="5891" width="11.42578125" style="10" customWidth="1"/>
    <col min="5892" max="5892" width="3.140625" style="10" customWidth="1"/>
    <col min="5893" max="5894" width="9.140625" style="10"/>
    <col min="5895" max="5895" width="10.28515625" style="10" bestFit="1" customWidth="1"/>
    <col min="5896" max="6144" width="9.140625" style="10"/>
    <col min="6145" max="6145" width="47" style="10" customWidth="1"/>
    <col min="6146" max="6146" width="3.140625" style="10" customWidth="1"/>
    <col min="6147" max="6147" width="11.42578125" style="10" customWidth="1"/>
    <col min="6148" max="6148" width="3.140625" style="10" customWidth="1"/>
    <col min="6149" max="6150" width="9.140625" style="10"/>
    <col min="6151" max="6151" width="10.28515625" style="10" bestFit="1" customWidth="1"/>
    <col min="6152" max="6400" width="9.140625" style="10"/>
    <col min="6401" max="6401" width="47" style="10" customWidth="1"/>
    <col min="6402" max="6402" width="3.140625" style="10" customWidth="1"/>
    <col min="6403" max="6403" width="11.42578125" style="10" customWidth="1"/>
    <col min="6404" max="6404" width="3.140625" style="10" customWidth="1"/>
    <col min="6405" max="6406" width="9.140625" style="10"/>
    <col min="6407" max="6407" width="10.28515625" style="10" bestFit="1" customWidth="1"/>
    <col min="6408" max="6656" width="9.140625" style="10"/>
    <col min="6657" max="6657" width="47" style="10" customWidth="1"/>
    <col min="6658" max="6658" width="3.140625" style="10" customWidth="1"/>
    <col min="6659" max="6659" width="11.42578125" style="10" customWidth="1"/>
    <col min="6660" max="6660" width="3.140625" style="10" customWidth="1"/>
    <col min="6661" max="6662" width="9.140625" style="10"/>
    <col min="6663" max="6663" width="10.28515625" style="10" bestFit="1" customWidth="1"/>
    <col min="6664" max="6912" width="9.140625" style="10"/>
    <col min="6913" max="6913" width="47" style="10" customWidth="1"/>
    <col min="6914" max="6914" width="3.140625" style="10" customWidth="1"/>
    <col min="6915" max="6915" width="11.42578125" style="10" customWidth="1"/>
    <col min="6916" max="6916" width="3.140625" style="10" customWidth="1"/>
    <col min="6917" max="6918" width="9.140625" style="10"/>
    <col min="6919" max="6919" width="10.28515625" style="10" bestFit="1" customWidth="1"/>
    <col min="6920" max="7168" width="9.140625" style="10"/>
    <col min="7169" max="7169" width="47" style="10" customWidth="1"/>
    <col min="7170" max="7170" width="3.140625" style="10" customWidth="1"/>
    <col min="7171" max="7171" width="11.42578125" style="10" customWidth="1"/>
    <col min="7172" max="7172" width="3.140625" style="10" customWidth="1"/>
    <col min="7173" max="7174" width="9.140625" style="10"/>
    <col min="7175" max="7175" width="10.28515625" style="10" bestFit="1" customWidth="1"/>
    <col min="7176" max="7424" width="9.140625" style="10"/>
    <col min="7425" max="7425" width="47" style="10" customWidth="1"/>
    <col min="7426" max="7426" width="3.140625" style="10" customWidth="1"/>
    <col min="7427" max="7427" width="11.42578125" style="10" customWidth="1"/>
    <col min="7428" max="7428" width="3.140625" style="10" customWidth="1"/>
    <col min="7429" max="7430" width="9.140625" style="10"/>
    <col min="7431" max="7431" width="10.28515625" style="10" bestFit="1" customWidth="1"/>
    <col min="7432" max="7680" width="9.140625" style="10"/>
    <col min="7681" max="7681" width="47" style="10" customWidth="1"/>
    <col min="7682" max="7682" width="3.140625" style="10" customWidth="1"/>
    <col min="7683" max="7683" width="11.42578125" style="10" customWidth="1"/>
    <col min="7684" max="7684" width="3.140625" style="10" customWidth="1"/>
    <col min="7685" max="7686" width="9.140625" style="10"/>
    <col min="7687" max="7687" width="10.28515625" style="10" bestFit="1" customWidth="1"/>
    <col min="7688" max="7936" width="9.140625" style="10"/>
    <col min="7937" max="7937" width="47" style="10" customWidth="1"/>
    <col min="7938" max="7938" width="3.140625" style="10" customWidth="1"/>
    <col min="7939" max="7939" width="11.42578125" style="10" customWidth="1"/>
    <col min="7940" max="7940" width="3.140625" style="10" customWidth="1"/>
    <col min="7941" max="7942" width="9.140625" style="10"/>
    <col min="7943" max="7943" width="10.28515625" style="10" bestFit="1" customWidth="1"/>
    <col min="7944" max="8192" width="9.140625" style="10"/>
    <col min="8193" max="8193" width="47" style="10" customWidth="1"/>
    <col min="8194" max="8194" width="3.140625" style="10" customWidth="1"/>
    <col min="8195" max="8195" width="11.42578125" style="10" customWidth="1"/>
    <col min="8196" max="8196" width="3.140625" style="10" customWidth="1"/>
    <col min="8197" max="8198" width="9.140625" style="10"/>
    <col min="8199" max="8199" width="10.28515625" style="10" bestFit="1" customWidth="1"/>
    <col min="8200" max="8448" width="9.140625" style="10"/>
    <col min="8449" max="8449" width="47" style="10" customWidth="1"/>
    <col min="8450" max="8450" width="3.140625" style="10" customWidth="1"/>
    <col min="8451" max="8451" width="11.42578125" style="10" customWidth="1"/>
    <col min="8452" max="8452" width="3.140625" style="10" customWidth="1"/>
    <col min="8453" max="8454" width="9.140625" style="10"/>
    <col min="8455" max="8455" width="10.28515625" style="10" bestFit="1" customWidth="1"/>
    <col min="8456" max="8704" width="9.140625" style="10"/>
    <col min="8705" max="8705" width="47" style="10" customWidth="1"/>
    <col min="8706" max="8706" width="3.140625" style="10" customWidth="1"/>
    <col min="8707" max="8707" width="11.42578125" style="10" customWidth="1"/>
    <col min="8708" max="8708" width="3.140625" style="10" customWidth="1"/>
    <col min="8709" max="8710" width="9.140625" style="10"/>
    <col min="8711" max="8711" width="10.28515625" style="10" bestFit="1" customWidth="1"/>
    <col min="8712" max="8960" width="9.140625" style="10"/>
    <col min="8961" max="8961" width="47" style="10" customWidth="1"/>
    <col min="8962" max="8962" width="3.140625" style="10" customWidth="1"/>
    <col min="8963" max="8963" width="11.42578125" style="10" customWidth="1"/>
    <col min="8964" max="8964" width="3.140625" style="10" customWidth="1"/>
    <col min="8965" max="8966" width="9.140625" style="10"/>
    <col min="8967" max="8967" width="10.28515625" style="10" bestFit="1" customWidth="1"/>
    <col min="8968" max="9216" width="9.140625" style="10"/>
    <col min="9217" max="9217" width="47" style="10" customWidth="1"/>
    <col min="9218" max="9218" width="3.140625" style="10" customWidth="1"/>
    <col min="9219" max="9219" width="11.42578125" style="10" customWidth="1"/>
    <col min="9220" max="9220" width="3.140625" style="10" customWidth="1"/>
    <col min="9221" max="9222" width="9.140625" style="10"/>
    <col min="9223" max="9223" width="10.28515625" style="10" bestFit="1" customWidth="1"/>
    <col min="9224" max="9472" width="9.140625" style="10"/>
    <col min="9473" max="9473" width="47" style="10" customWidth="1"/>
    <col min="9474" max="9474" width="3.140625" style="10" customWidth="1"/>
    <col min="9475" max="9475" width="11.42578125" style="10" customWidth="1"/>
    <col min="9476" max="9476" width="3.140625" style="10" customWidth="1"/>
    <col min="9477" max="9478" width="9.140625" style="10"/>
    <col min="9479" max="9479" width="10.28515625" style="10" bestFit="1" customWidth="1"/>
    <col min="9480" max="9728" width="9.140625" style="10"/>
    <col min="9729" max="9729" width="47" style="10" customWidth="1"/>
    <col min="9730" max="9730" width="3.140625" style="10" customWidth="1"/>
    <col min="9731" max="9731" width="11.42578125" style="10" customWidth="1"/>
    <col min="9732" max="9732" width="3.140625" style="10" customWidth="1"/>
    <col min="9733" max="9734" width="9.140625" style="10"/>
    <col min="9735" max="9735" width="10.28515625" style="10" bestFit="1" customWidth="1"/>
    <col min="9736" max="9984" width="9.140625" style="10"/>
    <col min="9985" max="9985" width="47" style="10" customWidth="1"/>
    <col min="9986" max="9986" width="3.140625" style="10" customWidth="1"/>
    <col min="9987" max="9987" width="11.42578125" style="10" customWidth="1"/>
    <col min="9988" max="9988" width="3.140625" style="10" customWidth="1"/>
    <col min="9989" max="9990" width="9.140625" style="10"/>
    <col min="9991" max="9991" width="10.28515625" style="10" bestFit="1" customWidth="1"/>
    <col min="9992" max="10240" width="9.140625" style="10"/>
    <col min="10241" max="10241" width="47" style="10" customWidth="1"/>
    <col min="10242" max="10242" width="3.140625" style="10" customWidth="1"/>
    <col min="10243" max="10243" width="11.42578125" style="10" customWidth="1"/>
    <col min="10244" max="10244" width="3.140625" style="10" customWidth="1"/>
    <col min="10245" max="10246" width="9.140625" style="10"/>
    <col min="10247" max="10247" width="10.28515625" style="10" bestFit="1" customWidth="1"/>
    <col min="10248" max="10496" width="9.140625" style="10"/>
    <col min="10497" max="10497" width="47" style="10" customWidth="1"/>
    <col min="10498" max="10498" width="3.140625" style="10" customWidth="1"/>
    <col min="10499" max="10499" width="11.42578125" style="10" customWidth="1"/>
    <col min="10500" max="10500" width="3.140625" style="10" customWidth="1"/>
    <col min="10501" max="10502" width="9.140625" style="10"/>
    <col min="10503" max="10503" width="10.28515625" style="10" bestFit="1" customWidth="1"/>
    <col min="10504" max="10752" width="9.140625" style="10"/>
    <col min="10753" max="10753" width="47" style="10" customWidth="1"/>
    <col min="10754" max="10754" width="3.140625" style="10" customWidth="1"/>
    <col min="10755" max="10755" width="11.42578125" style="10" customWidth="1"/>
    <col min="10756" max="10756" width="3.140625" style="10" customWidth="1"/>
    <col min="10757" max="10758" width="9.140625" style="10"/>
    <col min="10759" max="10759" width="10.28515625" style="10" bestFit="1" customWidth="1"/>
    <col min="10760" max="11008" width="9.140625" style="10"/>
    <col min="11009" max="11009" width="47" style="10" customWidth="1"/>
    <col min="11010" max="11010" width="3.140625" style="10" customWidth="1"/>
    <col min="11011" max="11011" width="11.42578125" style="10" customWidth="1"/>
    <col min="11012" max="11012" width="3.140625" style="10" customWidth="1"/>
    <col min="11013" max="11014" width="9.140625" style="10"/>
    <col min="11015" max="11015" width="10.28515625" style="10" bestFit="1" customWidth="1"/>
    <col min="11016" max="11264" width="9.140625" style="10"/>
    <col min="11265" max="11265" width="47" style="10" customWidth="1"/>
    <col min="11266" max="11266" width="3.140625" style="10" customWidth="1"/>
    <col min="11267" max="11267" width="11.42578125" style="10" customWidth="1"/>
    <col min="11268" max="11268" width="3.140625" style="10" customWidth="1"/>
    <col min="11269" max="11270" width="9.140625" style="10"/>
    <col min="11271" max="11271" width="10.28515625" style="10" bestFit="1" customWidth="1"/>
    <col min="11272" max="11520" width="9.140625" style="10"/>
    <col min="11521" max="11521" width="47" style="10" customWidth="1"/>
    <col min="11522" max="11522" width="3.140625" style="10" customWidth="1"/>
    <col min="11523" max="11523" width="11.42578125" style="10" customWidth="1"/>
    <col min="11524" max="11524" width="3.140625" style="10" customWidth="1"/>
    <col min="11525" max="11526" width="9.140625" style="10"/>
    <col min="11527" max="11527" width="10.28515625" style="10" bestFit="1" customWidth="1"/>
    <col min="11528" max="11776" width="9.140625" style="10"/>
    <col min="11777" max="11777" width="47" style="10" customWidth="1"/>
    <col min="11778" max="11778" width="3.140625" style="10" customWidth="1"/>
    <col min="11779" max="11779" width="11.42578125" style="10" customWidth="1"/>
    <col min="11780" max="11780" width="3.140625" style="10" customWidth="1"/>
    <col min="11781" max="11782" width="9.140625" style="10"/>
    <col min="11783" max="11783" width="10.28515625" style="10" bestFit="1" customWidth="1"/>
    <col min="11784" max="12032" width="9.140625" style="10"/>
    <col min="12033" max="12033" width="47" style="10" customWidth="1"/>
    <col min="12034" max="12034" width="3.140625" style="10" customWidth="1"/>
    <col min="12035" max="12035" width="11.42578125" style="10" customWidth="1"/>
    <col min="12036" max="12036" width="3.140625" style="10" customWidth="1"/>
    <col min="12037" max="12038" width="9.140625" style="10"/>
    <col min="12039" max="12039" width="10.28515625" style="10" bestFit="1" customWidth="1"/>
    <col min="12040" max="12288" width="9.140625" style="10"/>
    <col min="12289" max="12289" width="47" style="10" customWidth="1"/>
    <col min="12290" max="12290" width="3.140625" style="10" customWidth="1"/>
    <col min="12291" max="12291" width="11.42578125" style="10" customWidth="1"/>
    <col min="12292" max="12292" width="3.140625" style="10" customWidth="1"/>
    <col min="12293" max="12294" width="9.140625" style="10"/>
    <col min="12295" max="12295" width="10.28515625" style="10" bestFit="1" customWidth="1"/>
    <col min="12296" max="12544" width="9.140625" style="10"/>
    <col min="12545" max="12545" width="47" style="10" customWidth="1"/>
    <col min="12546" max="12546" width="3.140625" style="10" customWidth="1"/>
    <col min="12547" max="12547" width="11.42578125" style="10" customWidth="1"/>
    <col min="12548" max="12548" width="3.140625" style="10" customWidth="1"/>
    <col min="12549" max="12550" width="9.140625" style="10"/>
    <col min="12551" max="12551" width="10.28515625" style="10" bestFit="1" customWidth="1"/>
    <col min="12552" max="12800" width="9.140625" style="10"/>
    <col min="12801" max="12801" width="47" style="10" customWidth="1"/>
    <col min="12802" max="12802" width="3.140625" style="10" customWidth="1"/>
    <col min="12803" max="12803" width="11.42578125" style="10" customWidth="1"/>
    <col min="12804" max="12804" width="3.140625" style="10" customWidth="1"/>
    <col min="12805" max="12806" width="9.140625" style="10"/>
    <col min="12807" max="12807" width="10.28515625" style="10" bestFit="1" customWidth="1"/>
    <col min="12808" max="13056" width="9.140625" style="10"/>
    <col min="13057" max="13057" width="47" style="10" customWidth="1"/>
    <col min="13058" max="13058" width="3.140625" style="10" customWidth="1"/>
    <col min="13059" max="13059" width="11.42578125" style="10" customWidth="1"/>
    <col min="13060" max="13060" width="3.140625" style="10" customWidth="1"/>
    <col min="13061" max="13062" width="9.140625" style="10"/>
    <col min="13063" max="13063" width="10.28515625" style="10" bestFit="1" customWidth="1"/>
    <col min="13064" max="13312" width="9.140625" style="10"/>
    <col min="13313" max="13313" width="47" style="10" customWidth="1"/>
    <col min="13314" max="13314" width="3.140625" style="10" customWidth="1"/>
    <col min="13315" max="13315" width="11.42578125" style="10" customWidth="1"/>
    <col min="13316" max="13316" width="3.140625" style="10" customWidth="1"/>
    <col min="13317" max="13318" width="9.140625" style="10"/>
    <col min="13319" max="13319" width="10.28515625" style="10" bestFit="1" customWidth="1"/>
    <col min="13320" max="13568" width="9.140625" style="10"/>
    <col min="13569" max="13569" width="47" style="10" customWidth="1"/>
    <col min="13570" max="13570" width="3.140625" style="10" customWidth="1"/>
    <col min="13571" max="13571" width="11.42578125" style="10" customWidth="1"/>
    <col min="13572" max="13572" width="3.140625" style="10" customWidth="1"/>
    <col min="13573" max="13574" width="9.140625" style="10"/>
    <col min="13575" max="13575" width="10.28515625" style="10" bestFit="1" customWidth="1"/>
    <col min="13576" max="13824" width="9.140625" style="10"/>
    <col min="13825" max="13825" width="47" style="10" customWidth="1"/>
    <col min="13826" max="13826" width="3.140625" style="10" customWidth="1"/>
    <col min="13827" max="13827" width="11.42578125" style="10" customWidth="1"/>
    <col min="13828" max="13828" width="3.140625" style="10" customWidth="1"/>
    <col min="13829" max="13830" width="9.140625" style="10"/>
    <col min="13831" max="13831" width="10.28515625" style="10" bestFit="1" customWidth="1"/>
    <col min="13832" max="14080" width="9.140625" style="10"/>
    <col min="14081" max="14081" width="47" style="10" customWidth="1"/>
    <col min="14082" max="14082" width="3.140625" style="10" customWidth="1"/>
    <col min="14083" max="14083" width="11.42578125" style="10" customWidth="1"/>
    <col min="14084" max="14084" width="3.140625" style="10" customWidth="1"/>
    <col min="14085" max="14086" width="9.140625" style="10"/>
    <col min="14087" max="14087" width="10.28515625" style="10" bestFit="1" customWidth="1"/>
    <col min="14088" max="14336" width="9.140625" style="10"/>
    <col min="14337" max="14337" width="47" style="10" customWidth="1"/>
    <col min="14338" max="14338" width="3.140625" style="10" customWidth="1"/>
    <col min="14339" max="14339" width="11.42578125" style="10" customWidth="1"/>
    <col min="14340" max="14340" width="3.140625" style="10" customWidth="1"/>
    <col min="14341" max="14342" width="9.140625" style="10"/>
    <col min="14343" max="14343" width="10.28515625" style="10" bestFit="1" customWidth="1"/>
    <col min="14344" max="14592" width="9.140625" style="10"/>
    <col min="14593" max="14593" width="47" style="10" customWidth="1"/>
    <col min="14594" max="14594" width="3.140625" style="10" customWidth="1"/>
    <col min="14595" max="14595" width="11.42578125" style="10" customWidth="1"/>
    <col min="14596" max="14596" width="3.140625" style="10" customWidth="1"/>
    <col min="14597" max="14598" width="9.140625" style="10"/>
    <col min="14599" max="14599" width="10.28515625" style="10" bestFit="1" customWidth="1"/>
    <col min="14600" max="14848" width="9.140625" style="10"/>
    <col min="14849" max="14849" width="47" style="10" customWidth="1"/>
    <col min="14850" max="14850" width="3.140625" style="10" customWidth="1"/>
    <col min="14851" max="14851" width="11.42578125" style="10" customWidth="1"/>
    <col min="14852" max="14852" width="3.140625" style="10" customWidth="1"/>
    <col min="14853" max="14854" width="9.140625" style="10"/>
    <col min="14855" max="14855" width="10.28515625" style="10" bestFit="1" customWidth="1"/>
    <col min="14856" max="15104" width="9.140625" style="10"/>
    <col min="15105" max="15105" width="47" style="10" customWidth="1"/>
    <col min="15106" max="15106" width="3.140625" style="10" customWidth="1"/>
    <col min="15107" max="15107" width="11.42578125" style="10" customWidth="1"/>
    <col min="15108" max="15108" width="3.140625" style="10" customWidth="1"/>
    <col min="15109" max="15110" width="9.140625" style="10"/>
    <col min="15111" max="15111" width="10.28515625" style="10" bestFit="1" customWidth="1"/>
    <col min="15112" max="15360" width="9.140625" style="10"/>
    <col min="15361" max="15361" width="47" style="10" customWidth="1"/>
    <col min="15362" max="15362" width="3.140625" style="10" customWidth="1"/>
    <col min="15363" max="15363" width="11.42578125" style="10" customWidth="1"/>
    <col min="15364" max="15364" width="3.140625" style="10" customWidth="1"/>
    <col min="15365" max="15366" width="9.140625" style="10"/>
    <col min="15367" max="15367" width="10.28515625" style="10" bestFit="1" customWidth="1"/>
    <col min="15368" max="15616" width="9.140625" style="10"/>
    <col min="15617" max="15617" width="47" style="10" customWidth="1"/>
    <col min="15618" max="15618" width="3.140625" style="10" customWidth="1"/>
    <col min="15619" max="15619" width="11.42578125" style="10" customWidth="1"/>
    <col min="15620" max="15620" width="3.140625" style="10" customWidth="1"/>
    <col min="15621" max="15622" width="9.140625" style="10"/>
    <col min="15623" max="15623" width="10.28515625" style="10" bestFit="1" customWidth="1"/>
    <col min="15624" max="15872" width="9.140625" style="10"/>
    <col min="15873" max="15873" width="47" style="10" customWidth="1"/>
    <col min="15874" max="15874" width="3.140625" style="10" customWidth="1"/>
    <col min="15875" max="15875" width="11.42578125" style="10" customWidth="1"/>
    <col min="15876" max="15876" width="3.140625" style="10" customWidth="1"/>
    <col min="15877" max="15878" width="9.140625" style="10"/>
    <col min="15879" max="15879" width="10.28515625" style="10" bestFit="1" customWidth="1"/>
    <col min="15880" max="16128" width="9.140625" style="10"/>
    <col min="16129" max="16129" width="47" style="10" customWidth="1"/>
    <col min="16130" max="16130" width="3.140625" style="10" customWidth="1"/>
    <col min="16131" max="16131" width="11.42578125" style="10" customWidth="1"/>
    <col min="16132" max="16132" width="3.140625" style="10" customWidth="1"/>
    <col min="16133" max="16134" width="9.140625" style="10"/>
    <col min="16135" max="16135" width="10.28515625" style="10" bestFit="1" customWidth="1"/>
    <col min="16136" max="16384" width="9.140625" style="10"/>
  </cols>
  <sheetData>
    <row r="1" spans="1:5" ht="20.25">
      <c r="A1" s="21" t="s">
        <v>123</v>
      </c>
      <c r="B1" s="22"/>
      <c r="C1" s="23"/>
      <c r="D1" s="22"/>
      <c r="E1" s="22"/>
    </row>
    <row r="2" spans="1:5" ht="20.25">
      <c r="A2" s="21" t="s">
        <v>124</v>
      </c>
      <c r="B2" s="22"/>
      <c r="C2" s="23"/>
      <c r="D2" s="22"/>
      <c r="E2" s="22"/>
    </row>
    <row r="3" spans="1:5" ht="20.25">
      <c r="A3" s="21" t="s">
        <v>0</v>
      </c>
      <c r="B3" s="22"/>
      <c r="C3" s="23"/>
      <c r="D3" s="22"/>
      <c r="E3" s="22"/>
    </row>
    <row r="4" spans="1:5" ht="20.25">
      <c r="A4" s="22"/>
      <c r="B4" s="22"/>
      <c r="C4" s="23"/>
      <c r="D4" s="22"/>
      <c r="E4" s="22"/>
    </row>
    <row r="5" spans="1:5" ht="20.25">
      <c r="A5" s="21" t="s">
        <v>1</v>
      </c>
      <c r="B5" s="22"/>
      <c r="C5" s="23"/>
      <c r="D5" s="22"/>
      <c r="E5" s="22"/>
    </row>
    <row r="6" spans="1:5" ht="20.25">
      <c r="A6" s="24" t="s">
        <v>125</v>
      </c>
      <c r="B6" s="22"/>
      <c r="C6" s="23"/>
      <c r="D6" s="22"/>
      <c r="E6" s="22"/>
    </row>
    <row r="7" spans="1:5" ht="20.25">
      <c r="A7" s="22" t="s">
        <v>126</v>
      </c>
      <c r="B7" s="22"/>
      <c r="C7" s="23">
        <f>'Prince 2016 Notes'!D11</f>
        <v>22907.5</v>
      </c>
      <c r="D7" s="22" t="s">
        <v>127</v>
      </c>
      <c r="E7" s="22"/>
    </row>
    <row r="8" spans="1:5" ht="20.25">
      <c r="A8" s="22" t="s">
        <v>128</v>
      </c>
      <c r="B8" s="22"/>
      <c r="C8" s="25">
        <v>11000</v>
      </c>
      <c r="D8" s="22" t="s">
        <v>129</v>
      </c>
      <c r="E8" s="22"/>
    </row>
    <row r="9" spans="1:5" ht="20.25">
      <c r="A9" s="22" t="s">
        <v>130</v>
      </c>
      <c r="B9" s="22"/>
      <c r="C9" s="23">
        <f>50*(95-35)</f>
        <v>3000</v>
      </c>
      <c r="D9" s="22" t="s">
        <v>131</v>
      </c>
      <c r="E9" s="22"/>
    </row>
    <row r="10" spans="1:5" ht="20.25">
      <c r="A10" s="22" t="s">
        <v>132</v>
      </c>
      <c r="B10" s="22"/>
      <c r="C10" s="26">
        <f>25*(50-35)</f>
        <v>375</v>
      </c>
      <c r="D10" s="22" t="s">
        <v>133</v>
      </c>
      <c r="E10" s="22"/>
    </row>
    <row r="11" spans="1:5" ht="20.25">
      <c r="A11" s="24" t="s">
        <v>134</v>
      </c>
      <c r="B11" s="22"/>
      <c r="C11" s="27">
        <f>SUM(C7:C10)</f>
        <v>37282.5</v>
      </c>
      <c r="D11" s="22"/>
      <c r="E11" s="22"/>
    </row>
    <row r="12" spans="1:5" ht="20.25">
      <c r="A12" s="24"/>
      <c r="B12" s="22"/>
      <c r="C12" s="27"/>
      <c r="D12" s="22"/>
      <c r="E12" s="22"/>
    </row>
    <row r="13" spans="1:5" ht="20.25">
      <c r="A13" s="24" t="s">
        <v>135</v>
      </c>
      <c r="B13" s="22"/>
      <c r="C13" s="23"/>
      <c r="D13" s="22"/>
      <c r="E13" s="22"/>
    </row>
    <row r="14" spans="1:5" ht="20.25">
      <c r="A14" s="22" t="s">
        <v>136</v>
      </c>
      <c r="B14" s="22"/>
      <c r="C14" s="23">
        <v>7500</v>
      </c>
      <c r="D14" s="22"/>
      <c r="E14" s="22"/>
    </row>
    <row r="15" spans="1:5" ht="20.25">
      <c r="A15" s="22" t="s">
        <v>137</v>
      </c>
      <c r="B15" s="22"/>
      <c r="C15" s="23">
        <v>1000</v>
      </c>
      <c r="D15" s="22"/>
      <c r="E15" s="22"/>
    </row>
    <row r="16" spans="1:5" ht="20.25">
      <c r="A16" s="22" t="s">
        <v>138</v>
      </c>
      <c r="B16" s="22"/>
      <c r="C16" s="26">
        <v>2000</v>
      </c>
      <c r="D16" s="22"/>
      <c r="E16" s="22"/>
    </row>
    <row r="17" spans="1:7" ht="20.25">
      <c r="A17" s="24" t="s">
        <v>139</v>
      </c>
      <c r="B17" s="24"/>
      <c r="C17" s="27">
        <f>SUM(C13:C16)</f>
        <v>10500</v>
      </c>
      <c r="D17" s="22"/>
      <c r="E17" s="22"/>
    </row>
    <row r="18" spans="1:7" ht="20.25">
      <c r="A18" s="22"/>
      <c r="B18" s="22"/>
      <c r="C18" s="23"/>
      <c r="D18" s="22"/>
      <c r="E18" s="22"/>
    </row>
    <row r="19" spans="1:7" ht="20.25">
      <c r="A19" s="22"/>
      <c r="B19" s="22"/>
      <c r="C19" s="23"/>
      <c r="D19" s="22"/>
      <c r="E19" s="22"/>
    </row>
    <row r="20" spans="1:7" ht="20.25">
      <c r="A20" s="21" t="s">
        <v>19</v>
      </c>
      <c r="B20" s="21"/>
      <c r="C20" s="28">
        <f>C17+C11</f>
        <v>47782.5</v>
      </c>
      <c r="D20" s="22"/>
      <c r="E20" s="22"/>
      <c r="G20" s="14"/>
    </row>
    <row r="21" spans="1:7" ht="20.25">
      <c r="A21" s="22"/>
      <c r="B21" s="22"/>
      <c r="C21" s="23"/>
      <c r="D21" s="22"/>
      <c r="E21" s="22"/>
      <c r="G21" s="14"/>
    </row>
    <row r="22" spans="1:7" ht="20.25">
      <c r="A22" s="21" t="s">
        <v>106</v>
      </c>
      <c r="B22" s="22"/>
      <c r="C22" s="23"/>
      <c r="D22" s="22"/>
      <c r="E22" s="22"/>
    </row>
    <row r="23" spans="1:7" ht="20.25">
      <c r="A23" s="21"/>
      <c r="B23" s="22"/>
      <c r="C23" s="23"/>
      <c r="D23" s="22"/>
      <c r="E23" s="22"/>
    </row>
    <row r="24" spans="1:7" ht="20.25">
      <c r="A24" s="22" t="s">
        <v>110</v>
      </c>
      <c r="B24" s="22"/>
      <c r="C24" s="23">
        <v>1800</v>
      </c>
      <c r="D24" s="22"/>
      <c r="E24" s="22"/>
    </row>
    <row r="25" spans="1:7" ht="20.25">
      <c r="A25" s="22" t="s">
        <v>144</v>
      </c>
      <c r="B25" s="22"/>
      <c r="C25" s="23">
        <v>5000</v>
      </c>
      <c r="D25" s="22" t="s">
        <v>150</v>
      </c>
      <c r="E25" s="22"/>
    </row>
    <row r="26" spans="1:7" ht="20.25">
      <c r="A26" s="22" t="s">
        <v>189</v>
      </c>
      <c r="B26" s="22"/>
      <c r="C26" s="23">
        <v>2000</v>
      </c>
      <c r="D26" s="22"/>
      <c r="E26" s="22"/>
    </row>
    <row r="27" spans="1:7" ht="20.25">
      <c r="A27" s="22" t="s">
        <v>191</v>
      </c>
      <c r="B27" s="22"/>
      <c r="C27" s="23">
        <v>2200</v>
      </c>
      <c r="D27" s="22"/>
      <c r="E27" s="22"/>
    </row>
    <row r="28" spans="1:7" ht="20.25">
      <c r="A28" s="22" t="s">
        <v>206</v>
      </c>
      <c r="B28" s="22"/>
      <c r="C28" s="23">
        <v>1000</v>
      </c>
      <c r="D28" s="22"/>
      <c r="E28" s="22"/>
    </row>
    <row r="29" spans="1:7" ht="20.25">
      <c r="A29" s="22"/>
      <c r="B29" s="22"/>
      <c r="C29" s="23"/>
      <c r="D29" s="22"/>
      <c r="E29" s="22"/>
    </row>
    <row r="30" spans="1:7" ht="20.25">
      <c r="A30" s="24" t="s">
        <v>154</v>
      </c>
      <c r="B30" s="22"/>
      <c r="C30" s="23"/>
      <c r="D30" s="22"/>
      <c r="E30" s="22"/>
    </row>
    <row r="31" spans="1:7" ht="20.25">
      <c r="A31" s="22" t="s">
        <v>141</v>
      </c>
      <c r="B31" s="22"/>
      <c r="C31" s="59">
        <f>((C7*0.95)*0.035)+300+('Prince 2016 Notes'!D9*2)</f>
        <v>3217.6743750000001</v>
      </c>
      <c r="D31" s="22" t="s">
        <v>153</v>
      </c>
      <c r="E31" s="22"/>
    </row>
    <row r="32" spans="1:7" ht="20.25">
      <c r="A32" s="22" t="s">
        <v>154</v>
      </c>
      <c r="B32" s="22"/>
      <c r="C32" s="29">
        <v>10500</v>
      </c>
      <c r="D32" s="22"/>
      <c r="E32" s="22"/>
    </row>
    <row r="33" spans="1:5" ht="20.25">
      <c r="A33" s="22" t="s">
        <v>152</v>
      </c>
      <c r="B33" s="22"/>
      <c r="C33" s="26">
        <f>25*4*45</f>
        <v>4500</v>
      </c>
      <c r="D33" s="22" t="s">
        <v>158</v>
      </c>
      <c r="E33" s="22"/>
    </row>
    <row r="34" spans="1:5" ht="20.25">
      <c r="A34" s="24" t="s">
        <v>224</v>
      </c>
      <c r="B34" s="24"/>
      <c r="C34" s="57">
        <f>SUM(C31:C33)</f>
        <v>18217.674375000002</v>
      </c>
      <c r="D34" s="22"/>
      <c r="E34" s="22"/>
    </row>
    <row r="35" spans="1:5" ht="20.25">
      <c r="A35" s="22"/>
      <c r="B35" s="22"/>
      <c r="C35" s="23"/>
      <c r="D35" s="22"/>
      <c r="E35" s="22"/>
    </row>
    <row r="36" spans="1:5" ht="20.25">
      <c r="A36" s="24" t="s">
        <v>223</v>
      </c>
      <c r="B36" s="22"/>
      <c r="C36" s="23"/>
      <c r="D36" s="22"/>
      <c r="E36" s="22"/>
    </row>
    <row r="37" spans="1:5" ht="20.25">
      <c r="A37" s="22" t="s">
        <v>145</v>
      </c>
      <c r="B37" s="22"/>
      <c r="C37" s="23">
        <v>250</v>
      </c>
      <c r="D37" s="22"/>
      <c r="E37" s="22"/>
    </row>
    <row r="38" spans="1:5" ht="20.25">
      <c r="A38" s="22" t="s">
        <v>146</v>
      </c>
      <c r="B38" s="22"/>
      <c r="C38" s="23">
        <v>750</v>
      </c>
      <c r="D38" s="22"/>
      <c r="E38" s="22"/>
    </row>
    <row r="39" spans="1:5" ht="20.25">
      <c r="A39" s="22" t="s">
        <v>156</v>
      </c>
      <c r="B39" s="22"/>
      <c r="C39" s="25">
        <v>1000</v>
      </c>
      <c r="D39" s="22"/>
      <c r="E39" s="22"/>
    </row>
    <row r="40" spans="1:5" ht="20.25">
      <c r="A40" s="22" t="s">
        <v>155</v>
      </c>
      <c r="B40" s="22"/>
      <c r="C40" s="26">
        <v>915</v>
      </c>
      <c r="D40" s="22"/>
      <c r="E40" s="22"/>
    </row>
    <row r="41" spans="1:5" ht="20.25">
      <c r="A41" s="24" t="s">
        <v>223</v>
      </c>
      <c r="B41" s="24"/>
      <c r="C41" s="58">
        <f>SUM(C37:C40)</f>
        <v>2915</v>
      </c>
      <c r="D41" s="22"/>
      <c r="E41" s="22"/>
    </row>
    <row r="42" spans="1:5" ht="20.25">
      <c r="A42" s="22"/>
      <c r="B42" s="22"/>
      <c r="C42" s="25"/>
      <c r="D42" s="22"/>
      <c r="E42" s="22"/>
    </row>
    <row r="43" spans="1:5" ht="20.25">
      <c r="A43" s="24" t="s">
        <v>218</v>
      </c>
      <c r="B43" s="22"/>
      <c r="C43" s="25"/>
      <c r="D43" s="22"/>
      <c r="E43" s="22"/>
    </row>
    <row r="44" spans="1:5" ht="20.25">
      <c r="A44" s="22" t="s">
        <v>140</v>
      </c>
      <c r="B44" s="22"/>
      <c r="C44" s="23">
        <v>500</v>
      </c>
      <c r="D44" s="22"/>
      <c r="E44" s="22"/>
    </row>
    <row r="45" spans="1:5" ht="20.25">
      <c r="A45" s="22" t="s">
        <v>271</v>
      </c>
      <c r="B45" s="22"/>
      <c r="C45" s="23">
        <v>2000</v>
      </c>
      <c r="D45" s="22"/>
      <c r="E45" s="22"/>
    </row>
    <row r="46" spans="1:5" ht="20.25">
      <c r="A46" s="22" t="s">
        <v>142</v>
      </c>
      <c r="B46" s="22"/>
      <c r="C46" s="23">
        <v>100</v>
      </c>
      <c r="D46" s="22"/>
      <c r="E46" s="22"/>
    </row>
    <row r="47" spans="1:5" ht="20.25">
      <c r="A47" s="22" t="s">
        <v>143</v>
      </c>
      <c r="B47" s="22"/>
      <c r="C47" s="23">
        <v>3000</v>
      </c>
      <c r="D47" s="22"/>
      <c r="E47" s="22"/>
    </row>
    <row r="48" spans="1:5" ht="20.25">
      <c r="A48" s="22" t="s">
        <v>147</v>
      </c>
      <c r="B48" s="22"/>
      <c r="C48" s="23">
        <v>250</v>
      </c>
      <c r="D48" s="22"/>
      <c r="E48" s="22"/>
    </row>
    <row r="49" spans="1:5" ht="20.25">
      <c r="A49" s="22" t="s">
        <v>148</v>
      </c>
      <c r="B49" s="22"/>
      <c r="C49" s="23">
        <v>900</v>
      </c>
      <c r="D49" s="22"/>
      <c r="E49" s="22"/>
    </row>
    <row r="50" spans="1:5" ht="20.25">
      <c r="A50" s="22" t="s">
        <v>149</v>
      </c>
      <c r="B50" s="22"/>
      <c r="C50" s="26">
        <v>1600</v>
      </c>
      <c r="D50" s="22" t="s">
        <v>200</v>
      </c>
      <c r="E50" s="22"/>
    </row>
    <row r="51" spans="1:5" ht="20.25">
      <c r="A51" s="24" t="s">
        <v>219</v>
      </c>
      <c r="B51" s="22"/>
      <c r="C51" s="57">
        <f>SUM(C44:C50)</f>
        <v>8350</v>
      </c>
      <c r="D51" s="22"/>
      <c r="E51" s="22"/>
    </row>
    <row r="52" spans="1:5" ht="20.25">
      <c r="A52" s="22"/>
      <c r="B52" s="22"/>
      <c r="C52" s="23"/>
      <c r="D52" s="22"/>
      <c r="E52" s="22"/>
    </row>
    <row r="53" spans="1:5" ht="20.25">
      <c r="A53" s="24" t="s">
        <v>229</v>
      </c>
      <c r="B53" s="22"/>
      <c r="C53" s="23"/>
      <c r="D53" s="22"/>
      <c r="E53" s="22"/>
    </row>
    <row r="54" spans="1:5" ht="20.25">
      <c r="A54" s="22" t="s">
        <v>130</v>
      </c>
      <c r="B54" s="22"/>
      <c r="C54" s="23">
        <f>50*55</f>
        <v>2750</v>
      </c>
      <c r="D54" s="22"/>
      <c r="E54" s="22"/>
    </row>
    <row r="55" spans="1:5" ht="20.25">
      <c r="A55" s="22" t="s">
        <v>151</v>
      </c>
      <c r="B55" s="22"/>
      <c r="C55" s="26">
        <v>250</v>
      </c>
      <c r="D55" s="22"/>
      <c r="E55" s="22"/>
    </row>
    <row r="56" spans="1:5" ht="20.25">
      <c r="A56" s="24" t="s">
        <v>230</v>
      </c>
      <c r="B56" s="22"/>
      <c r="C56" s="58">
        <f>SUM(C54:C55)</f>
        <v>3000</v>
      </c>
      <c r="D56" s="22"/>
      <c r="E56" s="22"/>
    </row>
    <row r="57" spans="1:5" ht="20.25">
      <c r="A57" s="22"/>
      <c r="B57" s="22"/>
      <c r="C57" s="25"/>
      <c r="D57" s="22"/>
      <c r="E57" s="22"/>
    </row>
    <row r="58" spans="1:5" ht="20.25">
      <c r="A58" s="22" t="s">
        <v>228</v>
      </c>
      <c r="B58" s="22"/>
      <c r="C58" s="23">
        <v>300</v>
      </c>
      <c r="D58" s="22" t="s">
        <v>226</v>
      </c>
      <c r="E58" s="22"/>
    </row>
    <row r="59" spans="1:5" ht="20.25">
      <c r="A59" s="21" t="s">
        <v>122</v>
      </c>
      <c r="B59" s="21"/>
      <c r="C59" s="28">
        <f>SUM(C24:C28)+C34+C41+C51+C54+C58+C55</f>
        <v>44782.674375000002</v>
      </c>
      <c r="D59" s="22"/>
      <c r="E59" s="22"/>
    </row>
    <row r="60" spans="1:5" ht="20.25">
      <c r="A60" s="22"/>
      <c r="B60" s="22"/>
      <c r="C60" s="23"/>
      <c r="D60" s="22"/>
      <c r="E60" s="22"/>
    </row>
    <row r="61" spans="1:5" ht="20.25">
      <c r="A61" s="21" t="s">
        <v>85</v>
      </c>
      <c r="B61" s="21"/>
      <c r="C61" s="28">
        <f>C20-C59</f>
        <v>2999.8256249999977</v>
      </c>
      <c r="D61" s="22"/>
      <c r="E61" s="22"/>
    </row>
    <row r="62" spans="1:5" ht="20.25">
      <c r="A62" s="21"/>
      <c r="B62" s="21"/>
      <c r="C62" s="28"/>
      <c r="D62" s="22"/>
      <c r="E62" s="22"/>
    </row>
    <row r="63" spans="1:5" ht="20.25">
      <c r="A63" s="24" t="s">
        <v>157</v>
      </c>
      <c r="B63" s="24"/>
      <c r="C63" s="27">
        <f>'Prince 2016 Notes'!B39+'Prince 2016 Notes'!F39</f>
        <v>19080</v>
      </c>
      <c r="D63" s="24" t="s">
        <v>203</v>
      </c>
      <c r="E63" s="22"/>
    </row>
    <row r="64" spans="1:5" ht="20.25">
      <c r="A64" s="22"/>
      <c r="B64" s="22"/>
      <c r="C64" s="23"/>
      <c r="D64" s="22"/>
      <c r="E64" s="22"/>
    </row>
    <row r="65" spans="1:5" ht="20.25">
      <c r="A65" s="22"/>
      <c r="B65" s="22"/>
      <c r="C65" s="23"/>
      <c r="D65" s="22"/>
      <c r="E65" s="22"/>
    </row>
    <row r="66" spans="1:5" ht="20.25">
      <c r="A66" s="22"/>
      <c r="B66" s="22"/>
      <c r="C66" s="23"/>
      <c r="D66" s="22"/>
      <c r="E66" s="22"/>
    </row>
  </sheetData>
  <pageMargins left="0.75" right="0.75" top="1" bottom="1" header="0.5" footer="0.5"/>
  <pageSetup scale="5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>
      <selection activeCell="D13" sqref="D13"/>
    </sheetView>
  </sheetViews>
  <sheetFormatPr defaultRowHeight="12.75"/>
  <cols>
    <col min="1" max="2" width="9.140625" style="10"/>
    <col min="3" max="3" width="13.140625" style="10" customWidth="1"/>
    <col min="4" max="4" width="11.28515625" style="10" bestFit="1" customWidth="1"/>
    <col min="5" max="16384" width="9.140625" style="10"/>
  </cols>
  <sheetData>
    <row r="1" spans="1:8">
      <c r="A1" s="12" t="s">
        <v>183</v>
      </c>
    </row>
    <row r="3" spans="1:8">
      <c r="A3" s="13" t="s">
        <v>182</v>
      </c>
    </row>
    <row r="5" spans="1:8">
      <c r="B5" s="10" t="s">
        <v>181</v>
      </c>
      <c r="C5" s="10" t="s">
        <v>180</v>
      </c>
      <c r="D5" s="10" t="s">
        <v>179</v>
      </c>
      <c r="H5" s="12" t="s">
        <v>178</v>
      </c>
    </row>
    <row r="6" spans="1:8">
      <c r="C6" s="10" t="s">
        <v>177</v>
      </c>
      <c r="D6" s="10" t="s">
        <v>176</v>
      </c>
      <c r="H6" s="13" t="s">
        <v>175</v>
      </c>
    </row>
    <row r="7" spans="1:8" ht="15">
      <c r="A7" s="10" t="s">
        <v>174</v>
      </c>
      <c r="B7" s="10">
        <f>440*3</f>
        <v>1320</v>
      </c>
      <c r="C7" s="17">
        <v>0.65</v>
      </c>
      <c r="D7" s="10">
        <f>B7*C7</f>
        <v>858</v>
      </c>
      <c r="H7" s="13" t="s">
        <v>173</v>
      </c>
    </row>
    <row r="8" spans="1:8" ht="15">
      <c r="A8" s="10" t="s">
        <v>172</v>
      </c>
      <c r="B8" s="10">
        <v>440</v>
      </c>
      <c r="C8" s="17">
        <v>0.5</v>
      </c>
      <c r="D8" s="20">
        <f>B8*C8</f>
        <v>220</v>
      </c>
      <c r="H8" s="13" t="s">
        <v>171</v>
      </c>
    </row>
    <row r="9" spans="1:8" ht="15">
      <c r="C9" s="17"/>
      <c r="D9" s="11">
        <f>SUM(D7:D8)</f>
        <v>1078</v>
      </c>
    </row>
    <row r="10" spans="1:8" ht="15">
      <c r="C10" s="17"/>
      <c r="D10" s="19">
        <v>21.25</v>
      </c>
      <c r="E10" s="13" t="s">
        <v>170</v>
      </c>
    </row>
    <row r="11" spans="1:8" ht="15">
      <c r="C11" s="17"/>
      <c r="D11" s="18">
        <v>22907.5</v>
      </c>
    </row>
    <row r="12" spans="1:8" ht="15">
      <c r="C12" s="17"/>
    </row>
    <row r="13" spans="1:8" ht="15">
      <c r="A13" s="13" t="s">
        <v>233</v>
      </c>
      <c r="C13" s="17"/>
      <c r="D13" s="60">
        <f>6000*1.15</f>
        <v>6899.9999999999991</v>
      </c>
    </row>
    <row r="14" spans="1:8" ht="15">
      <c r="C14" s="17"/>
    </row>
    <row r="15" spans="1:8">
      <c r="A15" s="13" t="s">
        <v>169</v>
      </c>
    </row>
    <row r="17" spans="1:2">
      <c r="A17" s="13" t="s">
        <v>168</v>
      </c>
    </row>
    <row r="19" spans="1:2">
      <c r="A19" s="10" t="s">
        <v>199</v>
      </c>
    </row>
    <row r="21" spans="1:2">
      <c r="A21" s="10" t="s">
        <v>225</v>
      </c>
    </row>
    <row r="23" spans="1:2">
      <c r="A23" s="13"/>
    </row>
    <row r="24" spans="1:2">
      <c r="A24" s="13" t="s">
        <v>231</v>
      </c>
    </row>
    <row r="27" spans="1:2">
      <c r="B27" s="13" t="s">
        <v>167</v>
      </c>
    </row>
    <row r="28" spans="1:2">
      <c r="B28" s="13" t="s">
        <v>166</v>
      </c>
    </row>
    <row r="29" spans="1:2">
      <c r="B29" s="13" t="s">
        <v>165</v>
      </c>
    </row>
    <row r="30" spans="1:2">
      <c r="B30" s="13"/>
    </row>
    <row r="31" spans="1:2">
      <c r="A31" s="13" t="s">
        <v>232</v>
      </c>
    </row>
    <row r="34" spans="1:7">
      <c r="A34" s="13" t="s">
        <v>202</v>
      </c>
    </row>
    <row r="35" spans="1:7">
      <c r="B35" s="10">
        <v>8</v>
      </c>
      <c r="C35" s="13" t="s">
        <v>164</v>
      </c>
      <c r="F35" s="10">
        <v>10</v>
      </c>
      <c r="G35" s="13" t="s">
        <v>164</v>
      </c>
    </row>
    <row r="36" spans="1:7">
      <c r="B36" s="16">
        <v>120</v>
      </c>
      <c r="C36" s="13" t="s">
        <v>163</v>
      </c>
      <c r="F36" s="16">
        <v>120</v>
      </c>
      <c r="G36" s="13" t="s">
        <v>162</v>
      </c>
    </row>
    <row r="37" spans="1:7">
      <c r="B37" s="10">
        <v>12</v>
      </c>
      <c r="C37" s="13" t="s">
        <v>161</v>
      </c>
      <c r="F37" s="10">
        <v>18</v>
      </c>
      <c r="G37" s="13" t="s">
        <v>160</v>
      </c>
    </row>
    <row r="38" spans="1:7">
      <c r="A38" s="10">
        <v>0.25</v>
      </c>
      <c r="B38" s="16">
        <f>B35*B36*B37</f>
        <v>11520</v>
      </c>
      <c r="E38" s="10">
        <v>0.75</v>
      </c>
      <c r="F38" s="16">
        <f>F35*F36*F37</f>
        <v>21600</v>
      </c>
    </row>
    <row r="39" spans="1:7">
      <c r="B39" s="15">
        <f>A38*B38</f>
        <v>2880</v>
      </c>
      <c r="F39" s="15">
        <f>E38*F38</f>
        <v>16200</v>
      </c>
    </row>
    <row r="41" spans="1:7">
      <c r="A41" s="10" t="s">
        <v>227</v>
      </c>
    </row>
  </sheetData>
  <pageMargins left="0.75" right="0.75" top="1" bottom="1" header="0.5" footer="0.5"/>
  <pageSetup orientation="landscape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topLeftCell="A9" workbookViewId="0">
      <selection activeCell="D24" sqref="D24"/>
    </sheetView>
  </sheetViews>
  <sheetFormatPr defaultColWidth="11.42578125" defaultRowHeight="12"/>
  <cols>
    <col min="1" max="1" width="44.140625" style="6" customWidth="1"/>
    <col min="2" max="2" width="7.28515625" style="6" customWidth="1"/>
    <col min="3" max="3" width="16.140625" style="6" customWidth="1"/>
    <col min="4" max="4" width="17.7109375" style="6" customWidth="1"/>
    <col min="5" max="5" width="32.42578125" style="6" customWidth="1"/>
    <col min="6" max="7" width="32.85546875" style="6" customWidth="1"/>
    <col min="8" max="253" width="11.42578125" style="6"/>
    <col min="254" max="254" width="1.140625" style="6" customWidth="1"/>
    <col min="255" max="255" width="34.85546875" style="6" customWidth="1"/>
    <col min="256" max="256" width="3.85546875" style="6" customWidth="1"/>
    <col min="257" max="257" width="11.5703125" style="6" bestFit="1" customWidth="1"/>
    <col min="258" max="258" width="23.42578125" style="6" customWidth="1"/>
    <col min="259" max="259" width="17.7109375" style="6" customWidth="1"/>
    <col min="260" max="260" width="1.28515625" style="6" customWidth="1"/>
    <col min="261" max="261" width="32.42578125" style="6" customWidth="1"/>
    <col min="262" max="263" width="32.85546875" style="6" customWidth="1"/>
    <col min="264" max="509" width="11.42578125" style="6"/>
    <col min="510" max="510" width="1.140625" style="6" customWidth="1"/>
    <col min="511" max="511" width="34.85546875" style="6" customWidth="1"/>
    <col min="512" max="512" width="3.85546875" style="6" customWidth="1"/>
    <col min="513" max="513" width="11.5703125" style="6" bestFit="1" customWidth="1"/>
    <col min="514" max="514" width="23.42578125" style="6" customWidth="1"/>
    <col min="515" max="515" width="17.7109375" style="6" customWidth="1"/>
    <col min="516" max="516" width="1.28515625" style="6" customWidth="1"/>
    <col min="517" max="517" width="32.42578125" style="6" customWidth="1"/>
    <col min="518" max="519" width="32.85546875" style="6" customWidth="1"/>
    <col min="520" max="765" width="11.42578125" style="6"/>
    <col min="766" max="766" width="1.140625" style="6" customWidth="1"/>
    <col min="767" max="767" width="34.85546875" style="6" customWidth="1"/>
    <col min="768" max="768" width="3.85546875" style="6" customWidth="1"/>
    <col min="769" max="769" width="11.5703125" style="6" bestFit="1" customWidth="1"/>
    <col min="770" max="770" width="23.42578125" style="6" customWidth="1"/>
    <col min="771" max="771" width="17.7109375" style="6" customWidth="1"/>
    <col min="772" max="772" width="1.28515625" style="6" customWidth="1"/>
    <col min="773" max="773" width="32.42578125" style="6" customWidth="1"/>
    <col min="774" max="775" width="32.85546875" style="6" customWidth="1"/>
    <col min="776" max="1021" width="11.42578125" style="6"/>
    <col min="1022" max="1022" width="1.140625" style="6" customWidth="1"/>
    <col min="1023" max="1023" width="34.85546875" style="6" customWidth="1"/>
    <col min="1024" max="1024" width="3.85546875" style="6" customWidth="1"/>
    <col min="1025" max="1025" width="11.5703125" style="6" bestFit="1" customWidth="1"/>
    <col min="1026" max="1026" width="23.42578125" style="6" customWidth="1"/>
    <col min="1027" max="1027" width="17.7109375" style="6" customWidth="1"/>
    <col min="1028" max="1028" width="1.28515625" style="6" customWidth="1"/>
    <col min="1029" max="1029" width="32.42578125" style="6" customWidth="1"/>
    <col min="1030" max="1031" width="32.85546875" style="6" customWidth="1"/>
    <col min="1032" max="1277" width="11.42578125" style="6"/>
    <col min="1278" max="1278" width="1.140625" style="6" customWidth="1"/>
    <col min="1279" max="1279" width="34.85546875" style="6" customWidth="1"/>
    <col min="1280" max="1280" width="3.85546875" style="6" customWidth="1"/>
    <col min="1281" max="1281" width="11.5703125" style="6" bestFit="1" customWidth="1"/>
    <col min="1282" max="1282" width="23.42578125" style="6" customWidth="1"/>
    <col min="1283" max="1283" width="17.7109375" style="6" customWidth="1"/>
    <col min="1284" max="1284" width="1.28515625" style="6" customWidth="1"/>
    <col min="1285" max="1285" width="32.42578125" style="6" customWidth="1"/>
    <col min="1286" max="1287" width="32.85546875" style="6" customWidth="1"/>
    <col min="1288" max="1533" width="11.42578125" style="6"/>
    <col min="1534" max="1534" width="1.140625" style="6" customWidth="1"/>
    <col min="1535" max="1535" width="34.85546875" style="6" customWidth="1"/>
    <col min="1536" max="1536" width="3.85546875" style="6" customWidth="1"/>
    <col min="1537" max="1537" width="11.5703125" style="6" bestFit="1" customWidth="1"/>
    <col min="1538" max="1538" width="23.42578125" style="6" customWidth="1"/>
    <col min="1539" max="1539" width="17.7109375" style="6" customWidth="1"/>
    <col min="1540" max="1540" width="1.28515625" style="6" customWidth="1"/>
    <col min="1541" max="1541" width="32.42578125" style="6" customWidth="1"/>
    <col min="1542" max="1543" width="32.85546875" style="6" customWidth="1"/>
    <col min="1544" max="1789" width="11.42578125" style="6"/>
    <col min="1790" max="1790" width="1.140625" style="6" customWidth="1"/>
    <col min="1791" max="1791" width="34.85546875" style="6" customWidth="1"/>
    <col min="1792" max="1792" width="3.85546875" style="6" customWidth="1"/>
    <col min="1793" max="1793" width="11.5703125" style="6" bestFit="1" customWidth="1"/>
    <col min="1794" max="1794" width="23.42578125" style="6" customWidth="1"/>
    <col min="1795" max="1795" width="17.7109375" style="6" customWidth="1"/>
    <col min="1796" max="1796" width="1.28515625" style="6" customWidth="1"/>
    <col min="1797" max="1797" width="32.42578125" style="6" customWidth="1"/>
    <col min="1798" max="1799" width="32.85546875" style="6" customWidth="1"/>
    <col min="1800" max="2045" width="11.42578125" style="6"/>
    <col min="2046" max="2046" width="1.140625" style="6" customWidth="1"/>
    <col min="2047" max="2047" width="34.85546875" style="6" customWidth="1"/>
    <col min="2048" max="2048" width="3.85546875" style="6" customWidth="1"/>
    <col min="2049" max="2049" width="11.5703125" style="6" bestFit="1" customWidth="1"/>
    <col min="2050" max="2050" width="23.42578125" style="6" customWidth="1"/>
    <col min="2051" max="2051" width="17.7109375" style="6" customWidth="1"/>
    <col min="2052" max="2052" width="1.28515625" style="6" customWidth="1"/>
    <col min="2053" max="2053" width="32.42578125" style="6" customWidth="1"/>
    <col min="2054" max="2055" width="32.85546875" style="6" customWidth="1"/>
    <col min="2056" max="2301" width="11.42578125" style="6"/>
    <col min="2302" max="2302" width="1.140625" style="6" customWidth="1"/>
    <col min="2303" max="2303" width="34.85546875" style="6" customWidth="1"/>
    <col min="2304" max="2304" width="3.85546875" style="6" customWidth="1"/>
    <col min="2305" max="2305" width="11.5703125" style="6" bestFit="1" customWidth="1"/>
    <col min="2306" max="2306" width="23.42578125" style="6" customWidth="1"/>
    <col min="2307" max="2307" width="17.7109375" style="6" customWidth="1"/>
    <col min="2308" max="2308" width="1.28515625" style="6" customWidth="1"/>
    <col min="2309" max="2309" width="32.42578125" style="6" customWidth="1"/>
    <col min="2310" max="2311" width="32.85546875" style="6" customWidth="1"/>
    <col min="2312" max="2557" width="11.42578125" style="6"/>
    <col min="2558" max="2558" width="1.140625" style="6" customWidth="1"/>
    <col min="2559" max="2559" width="34.85546875" style="6" customWidth="1"/>
    <col min="2560" max="2560" width="3.85546875" style="6" customWidth="1"/>
    <col min="2561" max="2561" width="11.5703125" style="6" bestFit="1" customWidth="1"/>
    <col min="2562" max="2562" width="23.42578125" style="6" customWidth="1"/>
    <col min="2563" max="2563" width="17.7109375" style="6" customWidth="1"/>
    <col min="2564" max="2564" width="1.28515625" style="6" customWidth="1"/>
    <col min="2565" max="2565" width="32.42578125" style="6" customWidth="1"/>
    <col min="2566" max="2567" width="32.85546875" style="6" customWidth="1"/>
    <col min="2568" max="2813" width="11.42578125" style="6"/>
    <col min="2814" max="2814" width="1.140625" style="6" customWidth="1"/>
    <col min="2815" max="2815" width="34.85546875" style="6" customWidth="1"/>
    <col min="2816" max="2816" width="3.85546875" style="6" customWidth="1"/>
    <col min="2817" max="2817" width="11.5703125" style="6" bestFit="1" customWidth="1"/>
    <col min="2818" max="2818" width="23.42578125" style="6" customWidth="1"/>
    <col min="2819" max="2819" width="17.7109375" style="6" customWidth="1"/>
    <col min="2820" max="2820" width="1.28515625" style="6" customWidth="1"/>
    <col min="2821" max="2821" width="32.42578125" style="6" customWidth="1"/>
    <col min="2822" max="2823" width="32.85546875" style="6" customWidth="1"/>
    <col min="2824" max="3069" width="11.42578125" style="6"/>
    <col min="3070" max="3070" width="1.140625" style="6" customWidth="1"/>
    <col min="3071" max="3071" width="34.85546875" style="6" customWidth="1"/>
    <col min="3072" max="3072" width="3.85546875" style="6" customWidth="1"/>
    <col min="3073" max="3073" width="11.5703125" style="6" bestFit="1" customWidth="1"/>
    <col min="3074" max="3074" width="23.42578125" style="6" customWidth="1"/>
    <col min="3075" max="3075" width="17.7109375" style="6" customWidth="1"/>
    <col min="3076" max="3076" width="1.28515625" style="6" customWidth="1"/>
    <col min="3077" max="3077" width="32.42578125" style="6" customWidth="1"/>
    <col min="3078" max="3079" width="32.85546875" style="6" customWidth="1"/>
    <col min="3080" max="3325" width="11.42578125" style="6"/>
    <col min="3326" max="3326" width="1.140625" style="6" customWidth="1"/>
    <col min="3327" max="3327" width="34.85546875" style="6" customWidth="1"/>
    <col min="3328" max="3328" width="3.85546875" style="6" customWidth="1"/>
    <col min="3329" max="3329" width="11.5703125" style="6" bestFit="1" customWidth="1"/>
    <col min="3330" max="3330" width="23.42578125" style="6" customWidth="1"/>
    <col min="3331" max="3331" width="17.7109375" style="6" customWidth="1"/>
    <col min="3332" max="3332" width="1.28515625" style="6" customWidth="1"/>
    <col min="3333" max="3333" width="32.42578125" style="6" customWidth="1"/>
    <col min="3334" max="3335" width="32.85546875" style="6" customWidth="1"/>
    <col min="3336" max="3581" width="11.42578125" style="6"/>
    <col min="3582" max="3582" width="1.140625" style="6" customWidth="1"/>
    <col min="3583" max="3583" width="34.85546875" style="6" customWidth="1"/>
    <col min="3584" max="3584" width="3.85546875" style="6" customWidth="1"/>
    <col min="3585" max="3585" width="11.5703125" style="6" bestFit="1" customWidth="1"/>
    <col min="3586" max="3586" width="23.42578125" style="6" customWidth="1"/>
    <col min="3587" max="3587" width="17.7109375" style="6" customWidth="1"/>
    <col min="3588" max="3588" width="1.28515625" style="6" customWidth="1"/>
    <col min="3589" max="3589" width="32.42578125" style="6" customWidth="1"/>
    <col min="3590" max="3591" width="32.85546875" style="6" customWidth="1"/>
    <col min="3592" max="3837" width="11.42578125" style="6"/>
    <col min="3838" max="3838" width="1.140625" style="6" customWidth="1"/>
    <col min="3839" max="3839" width="34.85546875" style="6" customWidth="1"/>
    <col min="3840" max="3840" width="3.85546875" style="6" customWidth="1"/>
    <col min="3841" max="3841" width="11.5703125" style="6" bestFit="1" customWidth="1"/>
    <col min="3842" max="3842" width="23.42578125" style="6" customWidth="1"/>
    <col min="3843" max="3843" width="17.7109375" style="6" customWidth="1"/>
    <col min="3844" max="3844" width="1.28515625" style="6" customWidth="1"/>
    <col min="3845" max="3845" width="32.42578125" style="6" customWidth="1"/>
    <col min="3846" max="3847" width="32.85546875" style="6" customWidth="1"/>
    <col min="3848" max="4093" width="11.42578125" style="6"/>
    <col min="4094" max="4094" width="1.140625" style="6" customWidth="1"/>
    <col min="4095" max="4095" width="34.85546875" style="6" customWidth="1"/>
    <col min="4096" max="4096" width="3.85546875" style="6" customWidth="1"/>
    <col min="4097" max="4097" width="11.5703125" style="6" bestFit="1" customWidth="1"/>
    <col min="4098" max="4098" width="23.42578125" style="6" customWidth="1"/>
    <col min="4099" max="4099" width="17.7109375" style="6" customWidth="1"/>
    <col min="4100" max="4100" width="1.28515625" style="6" customWidth="1"/>
    <col min="4101" max="4101" width="32.42578125" style="6" customWidth="1"/>
    <col min="4102" max="4103" width="32.85546875" style="6" customWidth="1"/>
    <col min="4104" max="4349" width="11.42578125" style="6"/>
    <col min="4350" max="4350" width="1.140625" style="6" customWidth="1"/>
    <col min="4351" max="4351" width="34.85546875" style="6" customWidth="1"/>
    <col min="4352" max="4352" width="3.85546875" style="6" customWidth="1"/>
    <col min="4353" max="4353" width="11.5703125" style="6" bestFit="1" customWidth="1"/>
    <col min="4354" max="4354" width="23.42578125" style="6" customWidth="1"/>
    <col min="4355" max="4355" width="17.7109375" style="6" customWidth="1"/>
    <col min="4356" max="4356" width="1.28515625" style="6" customWidth="1"/>
    <col min="4357" max="4357" width="32.42578125" style="6" customWidth="1"/>
    <col min="4358" max="4359" width="32.85546875" style="6" customWidth="1"/>
    <col min="4360" max="4605" width="11.42578125" style="6"/>
    <col min="4606" max="4606" width="1.140625" style="6" customWidth="1"/>
    <col min="4607" max="4607" width="34.85546875" style="6" customWidth="1"/>
    <col min="4608" max="4608" width="3.85546875" style="6" customWidth="1"/>
    <col min="4609" max="4609" width="11.5703125" style="6" bestFit="1" customWidth="1"/>
    <col min="4610" max="4610" width="23.42578125" style="6" customWidth="1"/>
    <col min="4611" max="4611" width="17.7109375" style="6" customWidth="1"/>
    <col min="4612" max="4612" width="1.28515625" style="6" customWidth="1"/>
    <col min="4613" max="4613" width="32.42578125" style="6" customWidth="1"/>
    <col min="4614" max="4615" width="32.85546875" style="6" customWidth="1"/>
    <col min="4616" max="4861" width="11.42578125" style="6"/>
    <col min="4862" max="4862" width="1.140625" style="6" customWidth="1"/>
    <col min="4863" max="4863" width="34.85546875" style="6" customWidth="1"/>
    <col min="4864" max="4864" width="3.85546875" style="6" customWidth="1"/>
    <col min="4865" max="4865" width="11.5703125" style="6" bestFit="1" customWidth="1"/>
    <col min="4866" max="4866" width="23.42578125" style="6" customWidth="1"/>
    <col min="4867" max="4867" width="17.7109375" style="6" customWidth="1"/>
    <col min="4868" max="4868" width="1.28515625" style="6" customWidth="1"/>
    <col min="4869" max="4869" width="32.42578125" style="6" customWidth="1"/>
    <col min="4870" max="4871" width="32.85546875" style="6" customWidth="1"/>
    <col min="4872" max="5117" width="11.42578125" style="6"/>
    <col min="5118" max="5118" width="1.140625" style="6" customWidth="1"/>
    <col min="5119" max="5119" width="34.85546875" style="6" customWidth="1"/>
    <col min="5120" max="5120" width="3.85546875" style="6" customWidth="1"/>
    <col min="5121" max="5121" width="11.5703125" style="6" bestFit="1" customWidth="1"/>
    <col min="5122" max="5122" width="23.42578125" style="6" customWidth="1"/>
    <col min="5123" max="5123" width="17.7109375" style="6" customWidth="1"/>
    <col min="5124" max="5124" width="1.28515625" style="6" customWidth="1"/>
    <col min="5125" max="5125" width="32.42578125" style="6" customWidth="1"/>
    <col min="5126" max="5127" width="32.85546875" style="6" customWidth="1"/>
    <col min="5128" max="5373" width="11.42578125" style="6"/>
    <col min="5374" max="5374" width="1.140625" style="6" customWidth="1"/>
    <col min="5375" max="5375" width="34.85546875" style="6" customWidth="1"/>
    <col min="5376" max="5376" width="3.85546875" style="6" customWidth="1"/>
    <col min="5377" max="5377" width="11.5703125" style="6" bestFit="1" customWidth="1"/>
    <col min="5378" max="5378" width="23.42578125" style="6" customWidth="1"/>
    <col min="5379" max="5379" width="17.7109375" style="6" customWidth="1"/>
    <col min="5380" max="5380" width="1.28515625" style="6" customWidth="1"/>
    <col min="5381" max="5381" width="32.42578125" style="6" customWidth="1"/>
    <col min="5382" max="5383" width="32.85546875" style="6" customWidth="1"/>
    <col min="5384" max="5629" width="11.42578125" style="6"/>
    <col min="5630" max="5630" width="1.140625" style="6" customWidth="1"/>
    <col min="5631" max="5631" width="34.85546875" style="6" customWidth="1"/>
    <col min="5632" max="5632" width="3.85546875" style="6" customWidth="1"/>
    <col min="5633" max="5633" width="11.5703125" style="6" bestFit="1" customWidth="1"/>
    <col min="5634" max="5634" width="23.42578125" style="6" customWidth="1"/>
    <col min="5635" max="5635" width="17.7109375" style="6" customWidth="1"/>
    <col min="5636" max="5636" width="1.28515625" style="6" customWidth="1"/>
    <col min="5637" max="5637" width="32.42578125" style="6" customWidth="1"/>
    <col min="5638" max="5639" width="32.85546875" style="6" customWidth="1"/>
    <col min="5640" max="5885" width="11.42578125" style="6"/>
    <col min="5886" max="5886" width="1.140625" style="6" customWidth="1"/>
    <col min="5887" max="5887" width="34.85546875" style="6" customWidth="1"/>
    <col min="5888" max="5888" width="3.85546875" style="6" customWidth="1"/>
    <col min="5889" max="5889" width="11.5703125" style="6" bestFit="1" customWidth="1"/>
    <col min="5890" max="5890" width="23.42578125" style="6" customWidth="1"/>
    <col min="5891" max="5891" width="17.7109375" style="6" customWidth="1"/>
    <col min="5892" max="5892" width="1.28515625" style="6" customWidth="1"/>
    <col min="5893" max="5893" width="32.42578125" style="6" customWidth="1"/>
    <col min="5894" max="5895" width="32.85546875" style="6" customWidth="1"/>
    <col min="5896" max="6141" width="11.42578125" style="6"/>
    <col min="6142" max="6142" width="1.140625" style="6" customWidth="1"/>
    <col min="6143" max="6143" width="34.85546875" style="6" customWidth="1"/>
    <col min="6144" max="6144" width="3.85546875" style="6" customWidth="1"/>
    <col min="6145" max="6145" width="11.5703125" style="6" bestFit="1" customWidth="1"/>
    <col min="6146" max="6146" width="23.42578125" style="6" customWidth="1"/>
    <col min="6147" max="6147" width="17.7109375" style="6" customWidth="1"/>
    <col min="6148" max="6148" width="1.28515625" style="6" customWidth="1"/>
    <col min="6149" max="6149" width="32.42578125" style="6" customWidth="1"/>
    <col min="6150" max="6151" width="32.85546875" style="6" customWidth="1"/>
    <col min="6152" max="6397" width="11.42578125" style="6"/>
    <col min="6398" max="6398" width="1.140625" style="6" customWidth="1"/>
    <col min="6399" max="6399" width="34.85546875" style="6" customWidth="1"/>
    <col min="6400" max="6400" width="3.85546875" style="6" customWidth="1"/>
    <col min="6401" max="6401" width="11.5703125" style="6" bestFit="1" customWidth="1"/>
    <col min="6402" max="6402" width="23.42578125" style="6" customWidth="1"/>
    <col min="6403" max="6403" width="17.7109375" style="6" customWidth="1"/>
    <col min="6404" max="6404" width="1.28515625" style="6" customWidth="1"/>
    <col min="6405" max="6405" width="32.42578125" style="6" customWidth="1"/>
    <col min="6406" max="6407" width="32.85546875" style="6" customWidth="1"/>
    <col min="6408" max="6653" width="11.42578125" style="6"/>
    <col min="6654" max="6654" width="1.140625" style="6" customWidth="1"/>
    <col min="6655" max="6655" width="34.85546875" style="6" customWidth="1"/>
    <col min="6656" max="6656" width="3.85546875" style="6" customWidth="1"/>
    <col min="6657" max="6657" width="11.5703125" style="6" bestFit="1" customWidth="1"/>
    <col min="6658" max="6658" width="23.42578125" style="6" customWidth="1"/>
    <col min="6659" max="6659" width="17.7109375" style="6" customWidth="1"/>
    <col min="6660" max="6660" width="1.28515625" style="6" customWidth="1"/>
    <col min="6661" max="6661" width="32.42578125" style="6" customWidth="1"/>
    <col min="6662" max="6663" width="32.85546875" style="6" customWidth="1"/>
    <col min="6664" max="6909" width="11.42578125" style="6"/>
    <col min="6910" max="6910" width="1.140625" style="6" customWidth="1"/>
    <col min="6911" max="6911" width="34.85546875" style="6" customWidth="1"/>
    <col min="6912" max="6912" width="3.85546875" style="6" customWidth="1"/>
    <col min="6913" max="6913" width="11.5703125" style="6" bestFit="1" customWidth="1"/>
    <col min="6914" max="6914" width="23.42578125" style="6" customWidth="1"/>
    <col min="6915" max="6915" width="17.7109375" style="6" customWidth="1"/>
    <col min="6916" max="6916" width="1.28515625" style="6" customWidth="1"/>
    <col min="6917" max="6917" width="32.42578125" style="6" customWidth="1"/>
    <col min="6918" max="6919" width="32.85546875" style="6" customWidth="1"/>
    <col min="6920" max="7165" width="11.42578125" style="6"/>
    <col min="7166" max="7166" width="1.140625" style="6" customWidth="1"/>
    <col min="7167" max="7167" width="34.85546875" style="6" customWidth="1"/>
    <col min="7168" max="7168" width="3.85546875" style="6" customWidth="1"/>
    <col min="7169" max="7169" width="11.5703125" style="6" bestFit="1" customWidth="1"/>
    <col min="7170" max="7170" width="23.42578125" style="6" customWidth="1"/>
    <col min="7171" max="7171" width="17.7109375" style="6" customWidth="1"/>
    <col min="7172" max="7172" width="1.28515625" style="6" customWidth="1"/>
    <col min="7173" max="7173" width="32.42578125" style="6" customWidth="1"/>
    <col min="7174" max="7175" width="32.85546875" style="6" customWidth="1"/>
    <col min="7176" max="7421" width="11.42578125" style="6"/>
    <col min="7422" max="7422" width="1.140625" style="6" customWidth="1"/>
    <col min="7423" max="7423" width="34.85546875" style="6" customWidth="1"/>
    <col min="7424" max="7424" width="3.85546875" style="6" customWidth="1"/>
    <col min="7425" max="7425" width="11.5703125" style="6" bestFit="1" customWidth="1"/>
    <col min="7426" max="7426" width="23.42578125" style="6" customWidth="1"/>
    <col min="7427" max="7427" width="17.7109375" style="6" customWidth="1"/>
    <col min="7428" max="7428" width="1.28515625" style="6" customWidth="1"/>
    <col min="7429" max="7429" width="32.42578125" style="6" customWidth="1"/>
    <col min="7430" max="7431" width="32.85546875" style="6" customWidth="1"/>
    <col min="7432" max="7677" width="11.42578125" style="6"/>
    <col min="7678" max="7678" width="1.140625" style="6" customWidth="1"/>
    <col min="7679" max="7679" width="34.85546875" style="6" customWidth="1"/>
    <col min="7680" max="7680" width="3.85546875" style="6" customWidth="1"/>
    <col min="7681" max="7681" width="11.5703125" style="6" bestFit="1" customWidth="1"/>
    <col min="7682" max="7682" width="23.42578125" style="6" customWidth="1"/>
    <col min="7683" max="7683" width="17.7109375" style="6" customWidth="1"/>
    <col min="7684" max="7684" width="1.28515625" style="6" customWidth="1"/>
    <col min="7685" max="7685" width="32.42578125" style="6" customWidth="1"/>
    <col min="7686" max="7687" width="32.85546875" style="6" customWidth="1"/>
    <col min="7688" max="7933" width="11.42578125" style="6"/>
    <col min="7934" max="7934" width="1.140625" style="6" customWidth="1"/>
    <col min="7935" max="7935" width="34.85546875" style="6" customWidth="1"/>
    <col min="7936" max="7936" width="3.85546875" style="6" customWidth="1"/>
    <col min="7937" max="7937" width="11.5703125" style="6" bestFit="1" customWidth="1"/>
    <col min="7938" max="7938" width="23.42578125" style="6" customWidth="1"/>
    <col min="7939" max="7939" width="17.7109375" style="6" customWidth="1"/>
    <col min="7940" max="7940" width="1.28515625" style="6" customWidth="1"/>
    <col min="7941" max="7941" width="32.42578125" style="6" customWidth="1"/>
    <col min="7942" max="7943" width="32.85546875" style="6" customWidth="1"/>
    <col min="7944" max="8189" width="11.42578125" style="6"/>
    <col min="8190" max="8190" width="1.140625" style="6" customWidth="1"/>
    <col min="8191" max="8191" width="34.85546875" style="6" customWidth="1"/>
    <col min="8192" max="8192" width="3.85546875" style="6" customWidth="1"/>
    <col min="8193" max="8193" width="11.5703125" style="6" bestFit="1" customWidth="1"/>
    <col min="8194" max="8194" width="23.42578125" style="6" customWidth="1"/>
    <col min="8195" max="8195" width="17.7109375" style="6" customWidth="1"/>
    <col min="8196" max="8196" width="1.28515625" style="6" customWidth="1"/>
    <col min="8197" max="8197" width="32.42578125" style="6" customWidth="1"/>
    <col min="8198" max="8199" width="32.85546875" style="6" customWidth="1"/>
    <col min="8200" max="8445" width="11.42578125" style="6"/>
    <col min="8446" max="8446" width="1.140625" style="6" customWidth="1"/>
    <col min="8447" max="8447" width="34.85546875" style="6" customWidth="1"/>
    <col min="8448" max="8448" width="3.85546875" style="6" customWidth="1"/>
    <col min="8449" max="8449" width="11.5703125" style="6" bestFit="1" customWidth="1"/>
    <col min="8450" max="8450" width="23.42578125" style="6" customWidth="1"/>
    <col min="8451" max="8451" width="17.7109375" style="6" customWidth="1"/>
    <col min="8452" max="8452" width="1.28515625" style="6" customWidth="1"/>
    <col min="8453" max="8453" width="32.42578125" style="6" customWidth="1"/>
    <col min="8454" max="8455" width="32.85546875" style="6" customWidth="1"/>
    <col min="8456" max="8701" width="11.42578125" style="6"/>
    <col min="8702" max="8702" width="1.140625" style="6" customWidth="1"/>
    <col min="8703" max="8703" width="34.85546875" style="6" customWidth="1"/>
    <col min="8704" max="8704" width="3.85546875" style="6" customWidth="1"/>
    <col min="8705" max="8705" width="11.5703125" style="6" bestFit="1" customWidth="1"/>
    <col min="8706" max="8706" width="23.42578125" style="6" customWidth="1"/>
    <col min="8707" max="8707" width="17.7109375" style="6" customWidth="1"/>
    <col min="8708" max="8708" width="1.28515625" style="6" customWidth="1"/>
    <col min="8709" max="8709" width="32.42578125" style="6" customWidth="1"/>
    <col min="8710" max="8711" width="32.85546875" style="6" customWidth="1"/>
    <col min="8712" max="8957" width="11.42578125" style="6"/>
    <col min="8958" max="8958" width="1.140625" style="6" customWidth="1"/>
    <col min="8959" max="8959" width="34.85546875" style="6" customWidth="1"/>
    <col min="8960" max="8960" width="3.85546875" style="6" customWidth="1"/>
    <col min="8961" max="8961" width="11.5703125" style="6" bestFit="1" customWidth="1"/>
    <col min="8962" max="8962" width="23.42578125" style="6" customWidth="1"/>
    <col min="8963" max="8963" width="17.7109375" style="6" customWidth="1"/>
    <col min="8964" max="8964" width="1.28515625" style="6" customWidth="1"/>
    <col min="8965" max="8965" width="32.42578125" style="6" customWidth="1"/>
    <col min="8966" max="8967" width="32.85546875" style="6" customWidth="1"/>
    <col min="8968" max="9213" width="11.42578125" style="6"/>
    <col min="9214" max="9214" width="1.140625" style="6" customWidth="1"/>
    <col min="9215" max="9215" width="34.85546875" style="6" customWidth="1"/>
    <col min="9216" max="9216" width="3.85546875" style="6" customWidth="1"/>
    <col min="9217" max="9217" width="11.5703125" style="6" bestFit="1" customWidth="1"/>
    <col min="9218" max="9218" width="23.42578125" style="6" customWidth="1"/>
    <col min="9219" max="9219" width="17.7109375" style="6" customWidth="1"/>
    <col min="9220" max="9220" width="1.28515625" style="6" customWidth="1"/>
    <col min="9221" max="9221" width="32.42578125" style="6" customWidth="1"/>
    <col min="9222" max="9223" width="32.85546875" style="6" customWidth="1"/>
    <col min="9224" max="9469" width="11.42578125" style="6"/>
    <col min="9470" max="9470" width="1.140625" style="6" customWidth="1"/>
    <col min="9471" max="9471" width="34.85546875" style="6" customWidth="1"/>
    <col min="9472" max="9472" width="3.85546875" style="6" customWidth="1"/>
    <col min="9473" max="9473" width="11.5703125" style="6" bestFit="1" customWidth="1"/>
    <col min="9474" max="9474" width="23.42578125" style="6" customWidth="1"/>
    <col min="9475" max="9475" width="17.7109375" style="6" customWidth="1"/>
    <col min="9476" max="9476" width="1.28515625" style="6" customWidth="1"/>
    <col min="9477" max="9477" width="32.42578125" style="6" customWidth="1"/>
    <col min="9478" max="9479" width="32.85546875" style="6" customWidth="1"/>
    <col min="9480" max="9725" width="11.42578125" style="6"/>
    <col min="9726" max="9726" width="1.140625" style="6" customWidth="1"/>
    <col min="9727" max="9727" width="34.85546875" style="6" customWidth="1"/>
    <col min="9728" max="9728" width="3.85546875" style="6" customWidth="1"/>
    <col min="9729" max="9729" width="11.5703125" style="6" bestFit="1" customWidth="1"/>
    <col min="9730" max="9730" width="23.42578125" style="6" customWidth="1"/>
    <col min="9731" max="9731" width="17.7109375" style="6" customWidth="1"/>
    <col min="9732" max="9732" width="1.28515625" style="6" customWidth="1"/>
    <col min="9733" max="9733" width="32.42578125" style="6" customWidth="1"/>
    <col min="9734" max="9735" width="32.85546875" style="6" customWidth="1"/>
    <col min="9736" max="9981" width="11.42578125" style="6"/>
    <col min="9982" max="9982" width="1.140625" style="6" customWidth="1"/>
    <col min="9983" max="9983" width="34.85546875" style="6" customWidth="1"/>
    <col min="9984" max="9984" width="3.85546875" style="6" customWidth="1"/>
    <col min="9985" max="9985" width="11.5703125" style="6" bestFit="1" customWidth="1"/>
    <col min="9986" max="9986" width="23.42578125" style="6" customWidth="1"/>
    <col min="9987" max="9987" width="17.7109375" style="6" customWidth="1"/>
    <col min="9988" max="9988" width="1.28515625" style="6" customWidth="1"/>
    <col min="9989" max="9989" width="32.42578125" style="6" customWidth="1"/>
    <col min="9990" max="9991" width="32.85546875" style="6" customWidth="1"/>
    <col min="9992" max="10237" width="11.42578125" style="6"/>
    <col min="10238" max="10238" width="1.140625" style="6" customWidth="1"/>
    <col min="10239" max="10239" width="34.85546875" style="6" customWidth="1"/>
    <col min="10240" max="10240" width="3.85546875" style="6" customWidth="1"/>
    <col min="10241" max="10241" width="11.5703125" style="6" bestFit="1" customWidth="1"/>
    <col min="10242" max="10242" width="23.42578125" style="6" customWidth="1"/>
    <col min="10243" max="10243" width="17.7109375" style="6" customWidth="1"/>
    <col min="10244" max="10244" width="1.28515625" style="6" customWidth="1"/>
    <col min="10245" max="10245" width="32.42578125" style="6" customWidth="1"/>
    <col min="10246" max="10247" width="32.85546875" style="6" customWidth="1"/>
    <col min="10248" max="10493" width="11.42578125" style="6"/>
    <col min="10494" max="10494" width="1.140625" style="6" customWidth="1"/>
    <col min="10495" max="10495" width="34.85546875" style="6" customWidth="1"/>
    <col min="10496" max="10496" width="3.85546875" style="6" customWidth="1"/>
    <col min="10497" max="10497" width="11.5703125" style="6" bestFit="1" customWidth="1"/>
    <col min="10498" max="10498" width="23.42578125" style="6" customWidth="1"/>
    <col min="10499" max="10499" width="17.7109375" style="6" customWidth="1"/>
    <col min="10500" max="10500" width="1.28515625" style="6" customWidth="1"/>
    <col min="10501" max="10501" width="32.42578125" style="6" customWidth="1"/>
    <col min="10502" max="10503" width="32.85546875" style="6" customWidth="1"/>
    <col min="10504" max="10749" width="11.42578125" style="6"/>
    <col min="10750" max="10750" width="1.140625" style="6" customWidth="1"/>
    <col min="10751" max="10751" width="34.85546875" style="6" customWidth="1"/>
    <col min="10752" max="10752" width="3.85546875" style="6" customWidth="1"/>
    <col min="10753" max="10753" width="11.5703125" style="6" bestFit="1" customWidth="1"/>
    <col min="10754" max="10754" width="23.42578125" style="6" customWidth="1"/>
    <col min="10755" max="10755" width="17.7109375" style="6" customWidth="1"/>
    <col min="10756" max="10756" width="1.28515625" style="6" customWidth="1"/>
    <col min="10757" max="10757" width="32.42578125" style="6" customWidth="1"/>
    <col min="10758" max="10759" width="32.85546875" style="6" customWidth="1"/>
    <col min="10760" max="11005" width="11.42578125" style="6"/>
    <col min="11006" max="11006" width="1.140625" style="6" customWidth="1"/>
    <col min="11007" max="11007" width="34.85546875" style="6" customWidth="1"/>
    <col min="11008" max="11008" width="3.85546875" style="6" customWidth="1"/>
    <col min="11009" max="11009" width="11.5703125" style="6" bestFit="1" customWidth="1"/>
    <col min="11010" max="11010" width="23.42578125" style="6" customWidth="1"/>
    <col min="11011" max="11011" width="17.7109375" style="6" customWidth="1"/>
    <col min="11012" max="11012" width="1.28515625" style="6" customWidth="1"/>
    <col min="11013" max="11013" width="32.42578125" style="6" customWidth="1"/>
    <col min="11014" max="11015" width="32.85546875" style="6" customWidth="1"/>
    <col min="11016" max="11261" width="11.42578125" style="6"/>
    <col min="11262" max="11262" width="1.140625" style="6" customWidth="1"/>
    <col min="11263" max="11263" width="34.85546875" style="6" customWidth="1"/>
    <col min="11264" max="11264" width="3.85546875" style="6" customWidth="1"/>
    <col min="11265" max="11265" width="11.5703125" style="6" bestFit="1" customWidth="1"/>
    <col min="11266" max="11266" width="23.42578125" style="6" customWidth="1"/>
    <col min="11267" max="11267" width="17.7109375" style="6" customWidth="1"/>
    <col min="11268" max="11268" width="1.28515625" style="6" customWidth="1"/>
    <col min="11269" max="11269" width="32.42578125" style="6" customWidth="1"/>
    <col min="11270" max="11271" width="32.85546875" style="6" customWidth="1"/>
    <col min="11272" max="11517" width="11.42578125" style="6"/>
    <col min="11518" max="11518" width="1.140625" style="6" customWidth="1"/>
    <col min="11519" max="11519" width="34.85546875" style="6" customWidth="1"/>
    <col min="11520" max="11520" width="3.85546875" style="6" customWidth="1"/>
    <col min="11521" max="11521" width="11.5703125" style="6" bestFit="1" customWidth="1"/>
    <col min="11522" max="11522" width="23.42578125" style="6" customWidth="1"/>
    <col min="11523" max="11523" width="17.7109375" style="6" customWidth="1"/>
    <col min="11524" max="11524" width="1.28515625" style="6" customWidth="1"/>
    <col min="11525" max="11525" width="32.42578125" style="6" customWidth="1"/>
    <col min="11526" max="11527" width="32.85546875" style="6" customWidth="1"/>
    <col min="11528" max="11773" width="11.42578125" style="6"/>
    <col min="11774" max="11774" width="1.140625" style="6" customWidth="1"/>
    <col min="11775" max="11775" width="34.85546875" style="6" customWidth="1"/>
    <col min="11776" max="11776" width="3.85546875" style="6" customWidth="1"/>
    <col min="11777" max="11777" width="11.5703125" style="6" bestFit="1" customWidth="1"/>
    <col min="11778" max="11778" width="23.42578125" style="6" customWidth="1"/>
    <col min="11779" max="11779" width="17.7109375" style="6" customWidth="1"/>
    <col min="11780" max="11780" width="1.28515625" style="6" customWidth="1"/>
    <col min="11781" max="11781" width="32.42578125" style="6" customWidth="1"/>
    <col min="11782" max="11783" width="32.85546875" style="6" customWidth="1"/>
    <col min="11784" max="12029" width="11.42578125" style="6"/>
    <col min="12030" max="12030" width="1.140625" style="6" customWidth="1"/>
    <col min="12031" max="12031" width="34.85546875" style="6" customWidth="1"/>
    <col min="12032" max="12032" width="3.85546875" style="6" customWidth="1"/>
    <col min="12033" max="12033" width="11.5703125" style="6" bestFit="1" customWidth="1"/>
    <col min="12034" max="12034" width="23.42578125" style="6" customWidth="1"/>
    <col min="12035" max="12035" width="17.7109375" style="6" customWidth="1"/>
    <col min="12036" max="12036" width="1.28515625" style="6" customWidth="1"/>
    <col min="12037" max="12037" width="32.42578125" style="6" customWidth="1"/>
    <col min="12038" max="12039" width="32.85546875" style="6" customWidth="1"/>
    <col min="12040" max="12285" width="11.42578125" style="6"/>
    <col min="12286" max="12286" width="1.140625" style="6" customWidth="1"/>
    <col min="12287" max="12287" width="34.85546875" style="6" customWidth="1"/>
    <col min="12288" max="12288" width="3.85546875" style="6" customWidth="1"/>
    <col min="12289" max="12289" width="11.5703125" style="6" bestFit="1" customWidth="1"/>
    <col min="12290" max="12290" width="23.42578125" style="6" customWidth="1"/>
    <col min="12291" max="12291" width="17.7109375" style="6" customWidth="1"/>
    <col min="12292" max="12292" width="1.28515625" style="6" customWidth="1"/>
    <col min="12293" max="12293" width="32.42578125" style="6" customWidth="1"/>
    <col min="12294" max="12295" width="32.85546875" style="6" customWidth="1"/>
    <col min="12296" max="12541" width="11.42578125" style="6"/>
    <col min="12542" max="12542" width="1.140625" style="6" customWidth="1"/>
    <col min="12543" max="12543" width="34.85546875" style="6" customWidth="1"/>
    <col min="12544" max="12544" width="3.85546875" style="6" customWidth="1"/>
    <col min="12545" max="12545" width="11.5703125" style="6" bestFit="1" customWidth="1"/>
    <col min="12546" max="12546" width="23.42578125" style="6" customWidth="1"/>
    <col min="12547" max="12547" width="17.7109375" style="6" customWidth="1"/>
    <col min="12548" max="12548" width="1.28515625" style="6" customWidth="1"/>
    <col min="12549" max="12549" width="32.42578125" style="6" customWidth="1"/>
    <col min="12550" max="12551" width="32.85546875" style="6" customWidth="1"/>
    <col min="12552" max="12797" width="11.42578125" style="6"/>
    <col min="12798" max="12798" width="1.140625" style="6" customWidth="1"/>
    <col min="12799" max="12799" width="34.85546875" style="6" customWidth="1"/>
    <col min="12800" max="12800" width="3.85546875" style="6" customWidth="1"/>
    <col min="12801" max="12801" width="11.5703125" style="6" bestFit="1" customWidth="1"/>
    <col min="12802" max="12802" width="23.42578125" style="6" customWidth="1"/>
    <col min="12803" max="12803" width="17.7109375" style="6" customWidth="1"/>
    <col min="12804" max="12804" width="1.28515625" style="6" customWidth="1"/>
    <col min="12805" max="12805" width="32.42578125" style="6" customWidth="1"/>
    <col min="12806" max="12807" width="32.85546875" style="6" customWidth="1"/>
    <col min="12808" max="13053" width="11.42578125" style="6"/>
    <col min="13054" max="13054" width="1.140625" style="6" customWidth="1"/>
    <col min="13055" max="13055" width="34.85546875" style="6" customWidth="1"/>
    <col min="13056" max="13056" width="3.85546875" style="6" customWidth="1"/>
    <col min="13057" max="13057" width="11.5703125" style="6" bestFit="1" customWidth="1"/>
    <col min="13058" max="13058" width="23.42578125" style="6" customWidth="1"/>
    <col min="13059" max="13059" width="17.7109375" style="6" customWidth="1"/>
    <col min="13060" max="13060" width="1.28515625" style="6" customWidth="1"/>
    <col min="13061" max="13061" width="32.42578125" style="6" customWidth="1"/>
    <col min="13062" max="13063" width="32.85546875" style="6" customWidth="1"/>
    <col min="13064" max="13309" width="11.42578125" style="6"/>
    <col min="13310" max="13310" width="1.140625" style="6" customWidth="1"/>
    <col min="13311" max="13311" width="34.85546875" style="6" customWidth="1"/>
    <col min="13312" max="13312" width="3.85546875" style="6" customWidth="1"/>
    <col min="13313" max="13313" width="11.5703125" style="6" bestFit="1" customWidth="1"/>
    <col min="13314" max="13314" width="23.42578125" style="6" customWidth="1"/>
    <col min="13315" max="13315" width="17.7109375" style="6" customWidth="1"/>
    <col min="13316" max="13316" width="1.28515625" style="6" customWidth="1"/>
    <col min="13317" max="13317" width="32.42578125" style="6" customWidth="1"/>
    <col min="13318" max="13319" width="32.85546875" style="6" customWidth="1"/>
    <col min="13320" max="13565" width="11.42578125" style="6"/>
    <col min="13566" max="13566" width="1.140625" style="6" customWidth="1"/>
    <col min="13567" max="13567" width="34.85546875" style="6" customWidth="1"/>
    <col min="13568" max="13568" width="3.85546875" style="6" customWidth="1"/>
    <col min="13569" max="13569" width="11.5703125" style="6" bestFit="1" customWidth="1"/>
    <col min="13570" max="13570" width="23.42578125" style="6" customWidth="1"/>
    <col min="13571" max="13571" width="17.7109375" style="6" customWidth="1"/>
    <col min="13572" max="13572" width="1.28515625" style="6" customWidth="1"/>
    <col min="13573" max="13573" width="32.42578125" style="6" customWidth="1"/>
    <col min="13574" max="13575" width="32.85546875" style="6" customWidth="1"/>
    <col min="13576" max="13821" width="11.42578125" style="6"/>
    <col min="13822" max="13822" width="1.140625" style="6" customWidth="1"/>
    <col min="13823" max="13823" width="34.85546875" style="6" customWidth="1"/>
    <col min="13824" max="13824" width="3.85546875" style="6" customWidth="1"/>
    <col min="13825" max="13825" width="11.5703125" style="6" bestFit="1" customWidth="1"/>
    <col min="13826" max="13826" width="23.42578125" style="6" customWidth="1"/>
    <col min="13827" max="13827" width="17.7109375" style="6" customWidth="1"/>
    <col min="13828" max="13828" width="1.28515625" style="6" customWidth="1"/>
    <col min="13829" max="13829" width="32.42578125" style="6" customWidth="1"/>
    <col min="13830" max="13831" width="32.85546875" style="6" customWidth="1"/>
    <col min="13832" max="14077" width="11.42578125" style="6"/>
    <col min="14078" max="14078" width="1.140625" style="6" customWidth="1"/>
    <col min="14079" max="14079" width="34.85546875" style="6" customWidth="1"/>
    <col min="14080" max="14080" width="3.85546875" style="6" customWidth="1"/>
    <col min="14081" max="14081" width="11.5703125" style="6" bestFit="1" customWidth="1"/>
    <col min="14082" max="14082" width="23.42578125" style="6" customWidth="1"/>
    <col min="14083" max="14083" width="17.7109375" style="6" customWidth="1"/>
    <col min="14084" max="14084" width="1.28515625" style="6" customWidth="1"/>
    <col min="14085" max="14085" width="32.42578125" style="6" customWidth="1"/>
    <col min="14086" max="14087" width="32.85546875" style="6" customWidth="1"/>
    <col min="14088" max="14333" width="11.42578125" style="6"/>
    <col min="14334" max="14334" width="1.140625" style="6" customWidth="1"/>
    <col min="14335" max="14335" width="34.85546875" style="6" customWidth="1"/>
    <col min="14336" max="14336" width="3.85546875" style="6" customWidth="1"/>
    <col min="14337" max="14337" width="11.5703125" style="6" bestFit="1" customWidth="1"/>
    <col min="14338" max="14338" width="23.42578125" style="6" customWidth="1"/>
    <col min="14339" max="14339" width="17.7109375" style="6" customWidth="1"/>
    <col min="14340" max="14340" width="1.28515625" style="6" customWidth="1"/>
    <col min="14341" max="14341" width="32.42578125" style="6" customWidth="1"/>
    <col min="14342" max="14343" width="32.85546875" style="6" customWidth="1"/>
    <col min="14344" max="14589" width="11.42578125" style="6"/>
    <col min="14590" max="14590" width="1.140625" style="6" customWidth="1"/>
    <col min="14591" max="14591" width="34.85546875" style="6" customWidth="1"/>
    <col min="14592" max="14592" width="3.85546875" style="6" customWidth="1"/>
    <col min="14593" max="14593" width="11.5703125" style="6" bestFit="1" customWidth="1"/>
    <col min="14594" max="14594" width="23.42578125" style="6" customWidth="1"/>
    <col min="14595" max="14595" width="17.7109375" style="6" customWidth="1"/>
    <col min="14596" max="14596" width="1.28515625" style="6" customWidth="1"/>
    <col min="14597" max="14597" width="32.42578125" style="6" customWidth="1"/>
    <col min="14598" max="14599" width="32.85546875" style="6" customWidth="1"/>
    <col min="14600" max="14845" width="11.42578125" style="6"/>
    <col min="14846" max="14846" width="1.140625" style="6" customWidth="1"/>
    <col min="14847" max="14847" width="34.85546875" style="6" customWidth="1"/>
    <col min="14848" max="14848" width="3.85546875" style="6" customWidth="1"/>
    <col min="14849" max="14849" width="11.5703125" style="6" bestFit="1" customWidth="1"/>
    <col min="14850" max="14850" width="23.42578125" style="6" customWidth="1"/>
    <col min="14851" max="14851" width="17.7109375" style="6" customWidth="1"/>
    <col min="14852" max="14852" width="1.28515625" style="6" customWidth="1"/>
    <col min="14853" max="14853" width="32.42578125" style="6" customWidth="1"/>
    <col min="14854" max="14855" width="32.85546875" style="6" customWidth="1"/>
    <col min="14856" max="15101" width="11.42578125" style="6"/>
    <col min="15102" max="15102" width="1.140625" style="6" customWidth="1"/>
    <col min="15103" max="15103" width="34.85546875" style="6" customWidth="1"/>
    <col min="15104" max="15104" width="3.85546875" style="6" customWidth="1"/>
    <col min="15105" max="15105" width="11.5703125" style="6" bestFit="1" customWidth="1"/>
    <col min="15106" max="15106" width="23.42578125" style="6" customWidth="1"/>
    <col min="15107" max="15107" width="17.7109375" style="6" customWidth="1"/>
    <col min="15108" max="15108" width="1.28515625" style="6" customWidth="1"/>
    <col min="15109" max="15109" width="32.42578125" style="6" customWidth="1"/>
    <col min="15110" max="15111" width="32.85546875" style="6" customWidth="1"/>
    <col min="15112" max="15357" width="11.42578125" style="6"/>
    <col min="15358" max="15358" width="1.140625" style="6" customWidth="1"/>
    <col min="15359" max="15359" width="34.85546875" style="6" customWidth="1"/>
    <col min="15360" max="15360" width="3.85546875" style="6" customWidth="1"/>
    <col min="15361" max="15361" width="11.5703125" style="6" bestFit="1" customWidth="1"/>
    <col min="15362" max="15362" width="23.42578125" style="6" customWidth="1"/>
    <col min="15363" max="15363" width="17.7109375" style="6" customWidth="1"/>
    <col min="15364" max="15364" width="1.28515625" style="6" customWidth="1"/>
    <col min="15365" max="15365" width="32.42578125" style="6" customWidth="1"/>
    <col min="15366" max="15367" width="32.85546875" style="6" customWidth="1"/>
    <col min="15368" max="15613" width="11.42578125" style="6"/>
    <col min="15614" max="15614" width="1.140625" style="6" customWidth="1"/>
    <col min="15615" max="15615" width="34.85546875" style="6" customWidth="1"/>
    <col min="15616" max="15616" width="3.85546875" style="6" customWidth="1"/>
    <col min="15617" max="15617" width="11.5703125" style="6" bestFit="1" customWidth="1"/>
    <col min="15618" max="15618" width="23.42578125" style="6" customWidth="1"/>
    <col min="15619" max="15619" width="17.7109375" style="6" customWidth="1"/>
    <col min="15620" max="15620" width="1.28515625" style="6" customWidth="1"/>
    <col min="15621" max="15621" width="32.42578125" style="6" customWidth="1"/>
    <col min="15622" max="15623" width="32.85546875" style="6" customWidth="1"/>
    <col min="15624" max="15869" width="11.42578125" style="6"/>
    <col min="15870" max="15870" width="1.140625" style="6" customWidth="1"/>
    <col min="15871" max="15871" width="34.85546875" style="6" customWidth="1"/>
    <col min="15872" max="15872" width="3.85546875" style="6" customWidth="1"/>
    <col min="15873" max="15873" width="11.5703125" style="6" bestFit="1" customWidth="1"/>
    <col min="15874" max="15874" width="23.42578125" style="6" customWidth="1"/>
    <col min="15875" max="15875" width="17.7109375" style="6" customWidth="1"/>
    <col min="15876" max="15876" width="1.28515625" style="6" customWidth="1"/>
    <col min="15877" max="15877" width="32.42578125" style="6" customWidth="1"/>
    <col min="15878" max="15879" width="32.85546875" style="6" customWidth="1"/>
    <col min="15880" max="16125" width="11.42578125" style="6"/>
    <col min="16126" max="16126" width="1.140625" style="6" customWidth="1"/>
    <col min="16127" max="16127" width="34.85546875" style="6" customWidth="1"/>
    <col min="16128" max="16128" width="3.85546875" style="6" customWidth="1"/>
    <col min="16129" max="16129" width="11.5703125" style="6" bestFit="1" customWidth="1"/>
    <col min="16130" max="16130" width="23.42578125" style="6" customWidth="1"/>
    <col min="16131" max="16131" width="17.7109375" style="6" customWidth="1"/>
    <col min="16132" max="16132" width="1.28515625" style="6" customWidth="1"/>
    <col min="16133" max="16133" width="32.42578125" style="6" customWidth="1"/>
    <col min="16134" max="16135" width="32.85546875" style="6" customWidth="1"/>
    <col min="16136" max="16384" width="11.42578125" style="6"/>
  </cols>
  <sheetData>
    <row r="2" spans="1:8" s="2" customFormat="1" ht="30">
      <c r="A2" s="3" t="s">
        <v>98</v>
      </c>
    </row>
    <row r="3" spans="1:8" s="2" customFormat="1" ht="20.25">
      <c r="A3" s="30" t="s">
        <v>159</v>
      </c>
      <c r="B3" s="30"/>
      <c r="C3" s="30"/>
      <c r="D3" s="30"/>
      <c r="E3" s="30"/>
      <c r="F3" s="30"/>
      <c r="G3" s="30"/>
    </row>
    <row r="4" spans="1:8" s="4" customFormat="1" ht="20.25">
      <c r="A4" s="31" t="s">
        <v>101</v>
      </c>
      <c r="B4" s="30"/>
      <c r="C4" s="30"/>
      <c r="D4" s="30"/>
      <c r="E4" s="30"/>
      <c r="F4" s="30"/>
      <c r="G4" s="30"/>
    </row>
    <row r="5" spans="1:8" s="5" customFormat="1" ht="20.25">
      <c r="A5" s="30" t="s">
        <v>100</v>
      </c>
      <c r="B5" s="30"/>
      <c r="C5" s="30"/>
      <c r="D5" s="30"/>
      <c r="E5" s="30"/>
      <c r="F5" s="30"/>
      <c r="G5" s="30"/>
    </row>
    <row r="6" spans="1:8" s="5" customFormat="1" ht="20.25">
      <c r="A6" s="32"/>
      <c r="B6" s="33"/>
      <c r="C6" s="33"/>
      <c r="D6" s="33"/>
      <c r="E6" s="30"/>
      <c r="F6" s="30"/>
      <c r="G6" s="30"/>
    </row>
    <row r="7" spans="1:8" ht="20.25">
      <c r="A7" s="32" t="s">
        <v>1</v>
      </c>
      <c r="B7" s="33"/>
      <c r="C7" s="34"/>
      <c r="D7" s="35"/>
      <c r="E7" s="30"/>
      <c r="F7" s="30"/>
      <c r="G7" s="30"/>
    </row>
    <row r="8" spans="1:8" ht="20.25">
      <c r="A8" s="33" t="s">
        <v>102</v>
      </c>
      <c r="B8" s="33">
        <v>1</v>
      </c>
      <c r="C8" s="36">
        <v>8000</v>
      </c>
      <c r="D8" s="37">
        <f>SUM(B8*C8)</f>
        <v>8000</v>
      </c>
      <c r="E8" s="30"/>
      <c r="F8" s="30"/>
      <c r="G8" s="30"/>
    </row>
    <row r="9" spans="1:8" ht="20.25">
      <c r="A9" s="33" t="s">
        <v>105</v>
      </c>
      <c r="B9" s="33">
        <v>10</v>
      </c>
      <c r="C9" s="36">
        <v>0</v>
      </c>
      <c r="D9" s="47">
        <f>SUM(B9*C9)</f>
        <v>0</v>
      </c>
      <c r="E9" s="30"/>
      <c r="F9" s="30"/>
      <c r="G9" s="30"/>
    </row>
    <row r="10" spans="1:8" ht="20.25">
      <c r="A10" s="32" t="s">
        <v>19</v>
      </c>
      <c r="B10" s="33"/>
      <c r="C10" s="33"/>
      <c r="D10" s="35">
        <f>SUM(D8:D9)</f>
        <v>8000</v>
      </c>
      <c r="E10" s="30"/>
      <c r="F10" s="30"/>
      <c r="G10" s="30"/>
    </row>
    <row r="11" spans="1:8" ht="20.25">
      <c r="A11" s="32"/>
      <c r="B11" s="33"/>
      <c r="C11" s="33"/>
      <c r="D11" s="35"/>
      <c r="E11" s="30"/>
      <c r="F11" s="30"/>
      <c r="G11" s="30"/>
    </row>
    <row r="12" spans="1:8" s="5" customFormat="1" ht="20.25">
      <c r="A12" s="32" t="s">
        <v>106</v>
      </c>
      <c r="B12" s="38"/>
      <c r="C12" s="39"/>
      <c r="D12" s="40"/>
      <c r="E12" s="30"/>
      <c r="F12" s="30"/>
      <c r="G12" s="30"/>
    </row>
    <row r="13" spans="1:8" s="5" customFormat="1" ht="20.25">
      <c r="A13" s="33" t="s">
        <v>110</v>
      </c>
      <c r="B13" s="33">
        <v>1</v>
      </c>
      <c r="C13" s="42">
        <v>1500</v>
      </c>
      <c r="D13" s="44">
        <f>SUM(B13*C13)</f>
        <v>1500</v>
      </c>
      <c r="E13" s="30"/>
      <c r="F13" s="30"/>
      <c r="G13" s="30"/>
    </row>
    <row r="14" spans="1:8" s="5" customFormat="1" ht="20.25">
      <c r="A14" s="33" t="s">
        <v>109</v>
      </c>
      <c r="B14" s="33">
        <v>10</v>
      </c>
      <c r="C14" s="42">
        <v>350</v>
      </c>
      <c r="D14" s="37">
        <f>SUM(B14*C14)</f>
        <v>3500</v>
      </c>
      <c r="E14" s="30"/>
      <c r="F14" s="30"/>
      <c r="G14" s="30"/>
      <c r="H14" s="7"/>
    </row>
    <row r="15" spans="1:8" s="5" customFormat="1" ht="20.25">
      <c r="A15" s="33" t="s">
        <v>111</v>
      </c>
      <c r="B15" s="33">
        <v>1</v>
      </c>
      <c r="C15" s="42">
        <v>500</v>
      </c>
      <c r="D15" s="37">
        <f>SUM(B15*C15)</f>
        <v>500</v>
      </c>
      <c r="E15" s="30" t="s">
        <v>112</v>
      </c>
      <c r="F15" s="30"/>
      <c r="G15" s="30"/>
    </row>
    <row r="16" spans="1:8" s="5" customFormat="1" ht="20.25">
      <c r="A16" s="33" t="s">
        <v>119</v>
      </c>
      <c r="B16" s="33">
        <v>2.5</v>
      </c>
      <c r="C16" s="42">
        <f>25*13</f>
        <v>325</v>
      </c>
      <c r="D16" s="37">
        <f>SUM(B16*C16)</f>
        <v>812.5</v>
      </c>
      <c r="E16" s="30" t="s">
        <v>186</v>
      </c>
      <c r="F16" s="30"/>
      <c r="G16" s="30"/>
    </row>
    <row r="17" spans="1:9" s="5" customFormat="1" ht="20.25">
      <c r="A17" s="33" t="s">
        <v>107</v>
      </c>
      <c r="B17" s="33"/>
      <c r="C17" s="41">
        <v>0</v>
      </c>
      <c r="D17" s="37">
        <f>SUM(B17*C17)</f>
        <v>0</v>
      </c>
      <c r="E17" s="30"/>
      <c r="F17" s="30"/>
      <c r="G17" s="30" t="s">
        <v>108</v>
      </c>
    </row>
    <row r="18" spans="1:9" s="5" customFormat="1" ht="20.25">
      <c r="A18" s="33" t="s">
        <v>205</v>
      </c>
      <c r="B18" s="33">
        <v>1</v>
      </c>
      <c r="C18" s="42">
        <v>1000</v>
      </c>
      <c r="D18" s="37">
        <f>SUM(C18*B18)</f>
        <v>1000</v>
      </c>
      <c r="E18" s="43"/>
      <c r="F18" s="30"/>
      <c r="G18" s="30"/>
      <c r="H18" s="7"/>
    </row>
    <row r="19" spans="1:9" s="5" customFormat="1" ht="20.25">
      <c r="A19" s="33"/>
      <c r="B19" s="33"/>
      <c r="C19" s="42"/>
      <c r="D19" s="37"/>
      <c r="E19" s="43"/>
      <c r="F19" s="30"/>
      <c r="G19" s="30"/>
      <c r="H19" s="7"/>
    </row>
    <row r="20" spans="1:9" s="5" customFormat="1" ht="20.25">
      <c r="A20" s="54" t="s">
        <v>207</v>
      </c>
      <c r="B20" s="33"/>
      <c r="C20" s="42"/>
      <c r="D20" s="37"/>
      <c r="E20" s="43"/>
      <c r="F20" s="30"/>
      <c r="G20" s="30"/>
      <c r="H20" s="7"/>
    </row>
    <row r="21" spans="1:9" s="5" customFormat="1" ht="20.25">
      <c r="A21" s="33" t="s">
        <v>113</v>
      </c>
      <c r="B21" s="33">
        <v>1</v>
      </c>
      <c r="C21" s="42">
        <f>(3*165)+50</f>
        <v>545</v>
      </c>
      <c r="D21" s="37">
        <f>SUM(B21*C21)</f>
        <v>545</v>
      </c>
      <c r="E21" s="45" t="s">
        <v>185</v>
      </c>
      <c r="F21" s="45"/>
      <c r="G21" s="45"/>
      <c r="H21" s="8"/>
      <c r="I21" s="8"/>
    </row>
    <row r="22" spans="1:9" s="5" customFormat="1" ht="20.25">
      <c r="A22" s="33" t="s">
        <v>187</v>
      </c>
      <c r="B22" s="33">
        <v>5</v>
      </c>
      <c r="C22" s="42">
        <f>2*130</f>
        <v>260</v>
      </c>
      <c r="D22" s="37">
        <f>SUM(B22*C22)</f>
        <v>1300</v>
      </c>
      <c r="E22" s="30" t="s">
        <v>201</v>
      </c>
      <c r="F22" s="30"/>
      <c r="G22" s="30"/>
    </row>
    <row r="23" spans="1:9" s="5" customFormat="1" ht="20.25">
      <c r="A23" s="33" t="s">
        <v>188</v>
      </c>
      <c r="B23" s="33">
        <v>1</v>
      </c>
      <c r="C23" s="42">
        <v>260</v>
      </c>
      <c r="D23" s="47">
        <f>SUM(B23*C23)</f>
        <v>260</v>
      </c>
      <c r="E23" s="30"/>
      <c r="F23" s="30"/>
      <c r="G23" s="30"/>
    </row>
    <row r="24" spans="1:9" s="5" customFormat="1" ht="20.25">
      <c r="A24" s="54" t="s">
        <v>208</v>
      </c>
      <c r="B24" s="33"/>
      <c r="C24" s="42"/>
      <c r="D24" s="55">
        <f>SUM(D21:D23)</f>
        <v>2105</v>
      </c>
      <c r="E24" s="30"/>
      <c r="F24" s="30"/>
      <c r="G24" s="30"/>
    </row>
    <row r="25" spans="1:9" s="5" customFormat="1" ht="20.25">
      <c r="A25" s="54"/>
      <c r="B25" s="33"/>
      <c r="C25" s="42"/>
      <c r="D25" s="37"/>
      <c r="E25" s="30"/>
      <c r="F25" s="30"/>
      <c r="G25" s="30"/>
    </row>
    <row r="26" spans="1:9" s="5" customFormat="1" ht="20.25">
      <c r="A26" s="33" t="s">
        <v>220</v>
      </c>
      <c r="B26" s="33">
        <v>1</v>
      </c>
      <c r="C26" s="42">
        <v>0</v>
      </c>
      <c r="D26" s="37">
        <f>SUM(B26*C26)</f>
        <v>0</v>
      </c>
      <c r="E26" s="30"/>
      <c r="F26" s="30"/>
      <c r="G26" s="30"/>
    </row>
    <row r="27" spans="1:9" s="5" customFormat="1" ht="20.25">
      <c r="A27" s="33" t="s">
        <v>121</v>
      </c>
      <c r="B27" s="33"/>
      <c r="C27" s="42"/>
      <c r="D27" s="47"/>
      <c r="E27" s="30"/>
      <c r="F27" s="30"/>
      <c r="G27" s="30"/>
    </row>
    <row r="28" spans="1:9" s="5" customFormat="1" ht="20.25">
      <c r="A28" s="32" t="s">
        <v>122</v>
      </c>
      <c r="B28" s="33"/>
      <c r="C28" s="34"/>
      <c r="D28" s="48">
        <f>SUM(D13:D18)+D24+D26+D27</f>
        <v>9417.5</v>
      </c>
      <c r="E28" s="30"/>
      <c r="F28" s="30"/>
      <c r="G28" s="30"/>
    </row>
    <row r="29" spans="1:9" ht="20.25">
      <c r="A29" s="33"/>
      <c r="B29" s="33"/>
      <c r="C29" s="33"/>
      <c r="D29" s="40"/>
      <c r="E29" s="30"/>
      <c r="F29" s="30"/>
      <c r="G29" s="30"/>
    </row>
    <row r="30" spans="1:9" ht="20.25">
      <c r="A30" s="32" t="s">
        <v>85</v>
      </c>
      <c r="B30" s="33"/>
      <c r="C30" s="33"/>
      <c r="D30" s="46">
        <f>D10-D28</f>
        <v>-1417.5</v>
      </c>
      <c r="E30" s="30"/>
      <c r="F30" s="30"/>
      <c r="G30" s="30"/>
    </row>
    <row r="31" spans="1:9" ht="15">
      <c r="A31" s="9"/>
      <c r="B31" s="9"/>
      <c r="C31" s="9"/>
      <c r="D31" s="9"/>
    </row>
    <row r="32" spans="1:9" ht="15">
      <c r="A32" s="9"/>
      <c r="B32" s="9"/>
      <c r="C32" s="9"/>
      <c r="D32" s="9"/>
    </row>
    <row r="33" spans="1:4" ht="15">
      <c r="A33" s="9"/>
      <c r="B33" s="9"/>
      <c r="C33" s="9"/>
      <c r="D33" s="9"/>
    </row>
    <row r="34" spans="1:4" ht="15">
      <c r="A34" s="9"/>
      <c r="B34" s="9"/>
      <c r="C34" s="9"/>
      <c r="D34" s="9"/>
    </row>
    <row r="35" spans="1:4" ht="15">
      <c r="A35" s="9"/>
      <c r="B35" s="9"/>
      <c r="C35" s="9"/>
      <c r="D35" s="9"/>
    </row>
    <row r="36" spans="1:4" ht="15">
      <c r="A36" s="9"/>
      <c r="B36" s="9"/>
      <c r="C36" s="9"/>
      <c r="D36" s="9"/>
    </row>
    <row r="37" spans="1:4" ht="15">
      <c r="A37" s="9"/>
      <c r="B37" s="9"/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9"/>
      <c r="B46" s="9"/>
      <c r="C46" s="9"/>
      <c r="D46" s="9"/>
    </row>
    <row r="47" spans="1:4" ht="15">
      <c r="A47" s="9"/>
      <c r="B47" s="9"/>
      <c r="C47" s="9"/>
      <c r="D47" s="9"/>
    </row>
    <row r="48" spans="1:4" ht="15">
      <c r="A48" s="9"/>
      <c r="B48" s="9"/>
      <c r="C48" s="9"/>
      <c r="D48" s="9"/>
    </row>
    <row r="49" spans="1:4" ht="15">
      <c r="A49" s="9"/>
      <c r="B49" s="9"/>
      <c r="C49" s="9"/>
      <c r="D49" s="9"/>
    </row>
    <row r="50" spans="1:4" ht="15">
      <c r="A50" s="9"/>
    </row>
    <row r="51" spans="1:4" ht="15">
      <c r="A51" s="9"/>
    </row>
    <row r="52" spans="1:4" ht="15">
      <c r="A52" s="9"/>
    </row>
    <row r="53" spans="1:4" ht="15">
      <c r="A53" s="9"/>
    </row>
  </sheetData>
  <printOptions horizontalCentered="1" verticalCentered="1"/>
  <pageMargins left="0.5" right="0.5" top="0.5" bottom="0.5" header="0.5" footer="0.5"/>
  <pageSetup scale="6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topLeftCell="A2" workbookViewId="0">
      <selection activeCell="D20" sqref="D20:D21"/>
    </sheetView>
  </sheetViews>
  <sheetFormatPr defaultColWidth="11.42578125" defaultRowHeight="12"/>
  <cols>
    <col min="1" max="1" width="44.140625" style="6" customWidth="1"/>
    <col min="2" max="2" width="7.28515625" style="6" customWidth="1"/>
    <col min="3" max="3" width="16.140625" style="6" customWidth="1"/>
    <col min="4" max="4" width="17.7109375" style="6" customWidth="1"/>
    <col min="5" max="5" width="32.42578125" style="6" customWidth="1"/>
    <col min="6" max="7" width="32.85546875" style="6" customWidth="1"/>
    <col min="8" max="253" width="11.42578125" style="6"/>
    <col min="254" max="254" width="1.140625" style="6" customWidth="1"/>
    <col min="255" max="255" width="34.85546875" style="6" customWidth="1"/>
    <col min="256" max="256" width="3.85546875" style="6" customWidth="1"/>
    <col min="257" max="257" width="11.5703125" style="6" bestFit="1" customWidth="1"/>
    <col min="258" max="258" width="23.42578125" style="6" customWidth="1"/>
    <col min="259" max="259" width="17.7109375" style="6" customWidth="1"/>
    <col min="260" max="260" width="1.28515625" style="6" customWidth="1"/>
    <col min="261" max="261" width="32.42578125" style="6" customWidth="1"/>
    <col min="262" max="263" width="32.85546875" style="6" customWidth="1"/>
    <col min="264" max="509" width="11.42578125" style="6"/>
    <col min="510" max="510" width="1.140625" style="6" customWidth="1"/>
    <col min="511" max="511" width="34.85546875" style="6" customWidth="1"/>
    <col min="512" max="512" width="3.85546875" style="6" customWidth="1"/>
    <col min="513" max="513" width="11.5703125" style="6" bestFit="1" customWidth="1"/>
    <col min="514" max="514" width="23.42578125" style="6" customWidth="1"/>
    <col min="515" max="515" width="17.7109375" style="6" customWidth="1"/>
    <col min="516" max="516" width="1.28515625" style="6" customWidth="1"/>
    <col min="517" max="517" width="32.42578125" style="6" customWidth="1"/>
    <col min="518" max="519" width="32.85546875" style="6" customWidth="1"/>
    <col min="520" max="765" width="11.42578125" style="6"/>
    <col min="766" max="766" width="1.140625" style="6" customWidth="1"/>
    <col min="767" max="767" width="34.85546875" style="6" customWidth="1"/>
    <col min="768" max="768" width="3.85546875" style="6" customWidth="1"/>
    <col min="769" max="769" width="11.5703125" style="6" bestFit="1" customWidth="1"/>
    <col min="770" max="770" width="23.42578125" style="6" customWidth="1"/>
    <col min="771" max="771" width="17.7109375" style="6" customWidth="1"/>
    <col min="772" max="772" width="1.28515625" style="6" customWidth="1"/>
    <col min="773" max="773" width="32.42578125" style="6" customWidth="1"/>
    <col min="774" max="775" width="32.85546875" style="6" customWidth="1"/>
    <col min="776" max="1021" width="11.42578125" style="6"/>
    <col min="1022" max="1022" width="1.140625" style="6" customWidth="1"/>
    <col min="1023" max="1023" width="34.85546875" style="6" customWidth="1"/>
    <col min="1024" max="1024" width="3.85546875" style="6" customWidth="1"/>
    <col min="1025" max="1025" width="11.5703125" style="6" bestFit="1" customWidth="1"/>
    <col min="1026" max="1026" width="23.42578125" style="6" customWidth="1"/>
    <col min="1027" max="1027" width="17.7109375" style="6" customWidth="1"/>
    <col min="1028" max="1028" width="1.28515625" style="6" customWidth="1"/>
    <col min="1029" max="1029" width="32.42578125" style="6" customWidth="1"/>
    <col min="1030" max="1031" width="32.85546875" style="6" customWidth="1"/>
    <col min="1032" max="1277" width="11.42578125" style="6"/>
    <col min="1278" max="1278" width="1.140625" style="6" customWidth="1"/>
    <col min="1279" max="1279" width="34.85546875" style="6" customWidth="1"/>
    <col min="1280" max="1280" width="3.85546875" style="6" customWidth="1"/>
    <col min="1281" max="1281" width="11.5703125" style="6" bestFit="1" customWidth="1"/>
    <col min="1282" max="1282" width="23.42578125" style="6" customWidth="1"/>
    <col min="1283" max="1283" width="17.7109375" style="6" customWidth="1"/>
    <col min="1284" max="1284" width="1.28515625" style="6" customWidth="1"/>
    <col min="1285" max="1285" width="32.42578125" style="6" customWidth="1"/>
    <col min="1286" max="1287" width="32.85546875" style="6" customWidth="1"/>
    <col min="1288" max="1533" width="11.42578125" style="6"/>
    <col min="1534" max="1534" width="1.140625" style="6" customWidth="1"/>
    <col min="1535" max="1535" width="34.85546875" style="6" customWidth="1"/>
    <col min="1536" max="1536" width="3.85546875" style="6" customWidth="1"/>
    <col min="1537" max="1537" width="11.5703125" style="6" bestFit="1" customWidth="1"/>
    <col min="1538" max="1538" width="23.42578125" style="6" customWidth="1"/>
    <col min="1539" max="1539" width="17.7109375" style="6" customWidth="1"/>
    <col min="1540" max="1540" width="1.28515625" style="6" customWidth="1"/>
    <col min="1541" max="1541" width="32.42578125" style="6" customWidth="1"/>
    <col min="1542" max="1543" width="32.85546875" style="6" customWidth="1"/>
    <col min="1544" max="1789" width="11.42578125" style="6"/>
    <col min="1790" max="1790" width="1.140625" style="6" customWidth="1"/>
    <col min="1791" max="1791" width="34.85546875" style="6" customWidth="1"/>
    <col min="1792" max="1792" width="3.85546875" style="6" customWidth="1"/>
    <col min="1793" max="1793" width="11.5703125" style="6" bestFit="1" customWidth="1"/>
    <col min="1794" max="1794" width="23.42578125" style="6" customWidth="1"/>
    <col min="1795" max="1795" width="17.7109375" style="6" customWidth="1"/>
    <col min="1796" max="1796" width="1.28515625" style="6" customWidth="1"/>
    <col min="1797" max="1797" width="32.42578125" style="6" customWidth="1"/>
    <col min="1798" max="1799" width="32.85546875" style="6" customWidth="1"/>
    <col min="1800" max="2045" width="11.42578125" style="6"/>
    <col min="2046" max="2046" width="1.140625" style="6" customWidth="1"/>
    <col min="2047" max="2047" width="34.85546875" style="6" customWidth="1"/>
    <col min="2048" max="2048" width="3.85546875" style="6" customWidth="1"/>
    <col min="2049" max="2049" width="11.5703125" style="6" bestFit="1" customWidth="1"/>
    <col min="2050" max="2050" width="23.42578125" style="6" customWidth="1"/>
    <col min="2051" max="2051" width="17.7109375" style="6" customWidth="1"/>
    <col min="2052" max="2052" width="1.28515625" style="6" customWidth="1"/>
    <col min="2053" max="2053" width="32.42578125" style="6" customWidth="1"/>
    <col min="2054" max="2055" width="32.85546875" style="6" customWidth="1"/>
    <col min="2056" max="2301" width="11.42578125" style="6"/>
    <col min="2302" max="2302" width="1.140625" style="6" customWidth="1"/>
    <col min="2303" max="2303" width="34.85546875" style="6" customWidth="1"/>
    <col min="2304" max="2304" width="3.85546875" style="6" customWidth="1"/>
    <col min="2305" max="2305" width="11.5703125" style="6" bestFit="1" customWidth="1"/>
    <col min="2306" max="2306" width="23.42578125" style="6" customWidth="1"/>
    <col min="2307" max="2307" width="17.7109375" style="6" customWidth="1"/>
    <col min="2308" max="2308" width="1.28515625" style="6" customWidth="1"/>
    <col min="2309" max="2309" width="32.42578125" style="6" customWidth="1"/>
    <col min="2310" max="2311" width="32.85546875" style="6" customWidth="1"/>
    <col min="2312" max="2557" width="11.42578125" style="6"/>
    <col min="2558" max="2558" width="1.140625" style="6" customWidth="1"/>
    <col min="2559" max="2559" width="34.85546875" style="6" customWidth="1"/>
    <col min="2560" max="2560" width="3.85546875" style="6" customWidth="1"/>
    <col min="2561" max="2561" width="11.5703125" style="6" bestFit="1" customWidth="1"/>
    <col min="2562" max="2562" width="23.42578125" style="6" customWidth="1"/>
    <col min="2563" max="2563" width="17.7109375" style="6" customWidth="1"/>
    <col min="2564" max="2564" width="1.28515625" style="6" customWidth="1"/>
    <col min="2565" max="2565" width="32.42578125" style="6" customWidth="1"/>
    <col min="2566" max="2567" width="32.85546875" style="6" customWidth="1"/>
    <col min="2568" max="2813" width="11.42578125" style="6"/>
    <col min="2814" max="2814" width="1.140625" style="6" customWidth="1"/>
    <col min="2815" max="2815" width="34.85546875" style="6" customWidth="1"/>
    <col min="2816" max="2816" width="3.85546875" style="6" customWidth="1"/>
    <col min="2817" max="2817" width="11.5703125" style="6" bestFit="1" customWidth="1"/>
    <col min="2818" max="2818" width="23.42578125" style="6" customWidth="1"/>
    <col min="2819" max="2819" width="17.7109375" style="6" customWidth="1"/>
    <col min="2820" max="2820" width="1.28515625" style="6" customWidth="1"/>
    <col min="2821" max="2821" width="32.42578125" style="6" customWidth="1"/>
    <col min="2822" max="2823" width="32.85546875" style="6" customWidth="1"/>
    <col min="2824" max="3069" width="11.42578125" style="6"/>
    <col min="3070" max="3070" width="1.140625" style="6" customWidth="1"/>
    <col min="3071" max="3071" width="34.85546875" style="6" customWidth="1"/>
    <col min="3072" max="3072" width="3.85546875" style="6" customWidth="1"/>
    <col min="3073" max="3073" width="11.5703125" style="6" bestFit="1" customWidth="1"/>
    <col min="3074" max="3074" width="23.42578125" style="6" customWidth="1"/>
    <col min="3075" max="3075" width="17.7109375" style="6" customWidth="1"/>
    <col min="3076" max="3076" width="1.28515625" style="6" customWidth="1"/>
    <col min="3077" max="3077" width="32.42578125" style="6" customWidth="1"/>
    <col min="3078" max="3079" width="32.85546875" style="6" customWidth="1"/>
    <col min="3080" max="3325" width="11.42578125" style="6"/>
    <col min="3326" max="3326" width="1.140625" style="6" customWidth="1"/>
    <col min="3327" max="3327" width="34.85546875" style="6" customWidth="1"/>
    <col min="3328" max="3328" width="3.85546875" style="6" customWidth="1"/>
    <col min="3329" max="3329" width="11.5703125" style="6" bestFit="1" customWidth="1"/>
    <col min="3330" max="3330" width="23.42578125" style="6" customWidth="1"/>
    <col min="3331" max="3331" width="17.7109375" style="6" customWidth="1"/>
    <col min="3332" max="3332" width="1.28515625" style="6" customWidth="1"/>
    <col min="3333" max="3333" width="32.42578125" style="6" customWidth="1"/>
    <col min="3334" max="3335" width="32.85546875" style="6" customWidth="1"/>
    <col min="3336" max="3581" width="11.42578125" style="6"/>
    <col min="3582" max="3582" width="1.140625" style="6" customWidth="1"/>
    <col min="3583" max="3583" width="34.85546875" style="6" customWidth="1"/>
    <col min="3584" max="3584" width="3.85546875" style="6" customWidth="1"/>
    <col min="3585" max="3585" width="11.5703125" style="6" bestFit="1" customWidth="1"/>
    <col min="3586" max="3586" width="23.42578125" style="6" customWidth="1"/>
    <col min="3587" max="3587" width="17.7109375" style="6" customWidth="1"/>
    <col min="3588" max="3588" width="1.28515625" style="6" customWidth="1"/>
    <col min="3589" max="3589" width="32.42578125" style="6" customWidth="1"/>
    <col min="3590" max="3591" width="32.85546875" style="6" customWidth="1"/>
    <col min="3592" max="3837" width="11.42578125" style="6"/>
    <col min="3838" max="3838" width="1.140625" style="6" customWidth="1"/>
    <col min="3839" max="3839" width="34.85546875" style="6" customWidth="1"/>
    <col min="3840" max="3840" width="3.85546875" style="6" customWidth="1"/>
    <col min="3841" max="3841" width="11.5703125" style="6" bestFit="1" customWidth="1"/>
    <col min="3842" max="3842" width="23.42578125" style="6" customWidth="1"/>
    <col min="3843" max="3843" width="17.7109375" style="6" customWidth="1"/>
    <col min="3844" max="3844" width="1.28515625" style="6" customWidth="1"/>
    <col min="3845" max="3845" width="32.42578125" style="6" customWidth="1"/>
    <col min="3846" max="3847" width="32.85546875" style="6" customWidth="1"/>
    <col min="3848" max="4093" width="11.42578125" style="6"/>
    <col min="4094" max="4094" width="1.140625" style="6" customWidth="1"/>
    <col min="4095" max="4095" width="34.85546875" style="6" customWidth="1"/>
    <col min="4096" max="4096" width="3.85546875" style="6" customWidth="1"/>
    <col min="4097" max="4097" width="11.5703125" style="6" bestFit="1" customWidth="1"/>
    <col min="4098" max="4098" width="23.42578125" style="6" customWidth="1"/>
    <col min="4099" max="4099" width="17.7109375" style="6" customWidth="1"/>
    <col min="4100" max="4100" width="1.28515625" style="6" customWidth="1"/>
    <col min="4101" max="4101" width="32.42578125" style="6" customWidth="1"/>
    <col min="4102" max="4103" width="32.85546875" style="6" customWidth="1"/>
    <col min="4104" max="4349" width="11.42578125" style="6"/>
    <col min="4350" max="4350" width="1.140625" style="6" customWidth="1"/>
    <col min="4351" max="4351" width="34.85546875" style="6" customWidth="1"/>
    <col min="4352" max="4352" width="3.85546875" style="6" customWidth="1"/>
    <col min="4353" max="4353" width="11.5703125" style="6" bestFit="1" customWidth="1"/>
    <col min="4354" max="4354" width="23.42578125" style="6" customWidth="1"/>
    <col min="4355" max="4355" width="17.7109375" style="6" customWidth="1"/>
    <col min="4356" max="4356" width="1.28515625" style="6" customWidth="1"/>
    <col min="4357" max="4357" width="32.42578125" style="6" customWidth="1"/>
    <col min="4358" max="4359" width="32.85546875" style="6" customWidth="1"/>
    <col min="4360" max="4605" width="11.42578125" style="6"/>
    <col min="4606" max="4606" width="1.140625" style="6" customWidth="1"/>
    <col min="4607" max="4607" width="34.85546875" style="6" customWidth="1"/>
    <col min="4608" max="4608" width="3.85546875" style="6" customWidth="1"/>
    <col min="4609" max="4609" width="11.5703125" style="6" bestFit="1" customWidth="1"/>
    <col min="4610" max="4610" width="23.42578125" style="6" customWidth="1"/>
    <col min="4611" max="4611" width="17.7109375" style="6" customWidth="1"/>
    <col min="4612" max="4612" width="1.28515625" style="6" customWidth="1"/>
    <col min="4613" max="4613" width="32.42578125" style="6" customWidth="1"/>
    <col min="4614" max="4615" width="32.85546875" style="6" customWidth="1"/>
    <col min="4616" max="4861" width="11.42578125" style="6"/>
    <col min="4862" max="4862" width="1.140625" style="6" customWidth="1"/>
    <col min="4863" max="4863" width="34.85546875" style="6" customWidth="1"/>
    <col min="4864" max="4864" width="3.85546875" style="6" customWidth="1"/>
    <col min="4865" max="4865" width="11.5703125" style="6" bestFit="1" customWidth="1"/>
    <col min="4866" max="4866" width="23.42578125" style="6" customWidth="1"/>
    <col min="4867" max="4867" width="17.7109375" style="6" customWidth="1"/>
    <col min="4868" max="4868" width="1.28515625" style="6" customWidth="1"/>
    <col min="4869" max="4869" width="32.42578125" style="6" customWidth="1"/>
    <col min="4870" max="4871" width="32.85546875" style="6" customWidth="1"/>
    <col min="4872" max="5117" width="11.42578125" style="6"/>
    <col min="5118" max="5118" width="1.140625" style="6" customWidth="1"/>
    <col min="5119" max="5119" width="34.85546875" style="6" customWidth="1"/>
    <col min="5120" max="5120" width="3.85546875" style="6" customWidth="1"/>
    <col min="5121" max="5121" width="11.5703125" style="6" bestFit="1" customWidth="1"/>
    <col min="5122" max="5122" width="23.42578125" style="6" customWidth="1"/>
    <col min="5123" max="5123" width="17.7109375" style="6" customWidth="1"/>
    <col min="5124" max="5124" width="1.28515625" style="6" customWidth="1"/>
    <col min="5125" max="5125" width="32.42578125" style="6" customWidth="1"/>
    <col min="5126" max="5127" width="32.85546875" style="6" customWidth="1"/>
    <col min="5128" max="5373" width="11.42578125" style="6"/>
    <col min="5374" max="5374" width="1.140625" style="6" customWidth="1"/>
    <col min="5375" max="5375" width="34.85546875" style="6" customWidth="1"/>
    <col min="5376" max="5376" width="3.85546875" style="6" customWidth="1"/>
    <col min="5377" max="5377" width="11.5703125" style="6" bestFit="1" customWidth="1"/>
    <col min="5378" max="5378" width="23.42578125" style="6" customWidth="1"/>
    <col min="5379" max="5379" width="17.7109375" style="6" customWidth="1"/>
    <col min="5380" max="5380" width="1.28515625" style="6" customWidth="1"/>
    <col min="5381" max="5381" width="32.42578125" style="6" customWidth="1"/>
    <col min="5382" max="5383" width="32.85546875" style="6" customWidth="1"/>
    <col min="5384" max="5629" width="11.42578125" style="6"/>
    <col min="5630" max="5630" width="1.140625" style="6" customWidth="1"/>
    <col min="5631" max="5631" width="34.85546875" style="6" customWidth="1"/>
    <col min="5632" max="5632" width="3.85546875" style="6" customWidth="1"/>
    <col min="5633" max="5633" width="11.5703125" style="6" bestFit="1" customWidth="1"/>
    <col min="5634" max="5634" width="23.42578125" style="6" customWidth="1"/>
    <col min="5635" max="5635" width="17.7109375" style="6" customWidth="1"/>
    <col min="5636" max="5636" width="1.28515625" style="6" customWidth="1"/>
    <col min="5637" max="5637" width="32.42578125" style="6" customWidth="1"/>
    <col min="5638" max="5639" width="32.85546875" style="6" customWidth="1"/>
    <col min="5640" max="5885" width="11.42578125" style="6"/>
    <col min="5886" max="5886" width="1.140625" style="6" customWidth="1"/>
    <col min="5887" max="5887" width="34.85546875" style="6" customWidth="1"/>
    <col min="5888" max="5888" width="3.85546875" style="6" customWidth="1"/>
    <col min="5889" max="5889" width="11.5703125" style="6" bestFit="1" customWidth="1"/>
    <col min="5890" max="5890" width="23.42578125" style="6" customWidth="1"/>
    <col min="5891" max="5891" width="17.7109375" style="6" customWidth="1"/>
    <col min="5892" max="5892" width="1.28515625" style="6" customWidth="1"/>
    <col min="5893" max="5893" width="32.42578125" style="6" customWidth="1"/>
    <col min="5894" max="5895" width="32.85546875" style="6" customWidth="1"/>
    <col min="5896" max="6141" width="11.42578125" style="6"/>
    <col min="6142" max="6142" width="1.140625" style="6" customWidth="1"/>
    <col min="6143" max="6143" width="34.85546875" style="6" customWidth="1"/>
    <col min="6144" max="6144" width="3.85546875" style="6" customWidth="1"/>
    <col min="6145" max="6145" width="11.5703125" style="6" bestFit="1" customWidth="1"/>
    <col min="6146" max="6146" width="23.42578125" style="6" customWidth="1"/>
    <col min="6147" max="6147" width="17.7109375" style="6" customWidth="1"/>
    <col min="6148" max="6148" width="1.28515625" style="6" customWidth="1"/>
    <col min="6149" max="6149" width="32.42578125" style="6" customWidth="1"/>
    <col min="6150" max="6151" width="32.85546875" style="6" customWidth="1"/>
    <col min="6152" max="6397" width="11.42578125" style="6"/>
    <col min="6398" max="6398" width="1.140625" style="6" customWidth="1"/>
    <col min="6399" max="6399" width="34.85546875" style="6" customWidth="1"/>
    <col min="6400" max="6400" width="3.85546875" style="6" customWidth="1"/>
    <col min="6401" max="6401" width="11.5703125" style="6" bestFit="1" customWidth="1"/>
    <col min="6402" max="6402" width="23.42578125" style="6" customWidth="1"/>
    <col min="6403" max="6403" width="17.7109375" style="6" customWidth="1"/>
    <col min="6404" max="6404" width="1.28515625" style="6" customWidth="1"/>
    <col min="6405" max="6405" width="32.42578125" style="6" customWidth="1"/>
    <col min="6406" max="6407" width="32.85546875" style="6" customWidth="1"/>
    <col min="6408" max="6653" width="11.42578125" style="6"/>
    <col min="6654" max="6654" width="1.140625" style="6" customWidth="1"/>
    <col min="6655" max="6655" width="34.85546875" style="6" customWidth="1"/>
    <col min="6656" max="6656" width="3.85546875" style="6" customWidth="1"/>
    <col min="6657" max="6657" width="11.5703125" style="6" bestFit="1" customWidth="1"/>
    <col min="6658" max="6658" width="23.42578125" style="6" customWidth="1"/>
    <col min="6659" max="6659" width="17.7109375" style="6" customWidth="1"/>
    <col min="6660" max="6660" width="1.28515625" style="6" customWidth="1"/>
    <col min="6661" max="6661" width="32.42578125" style="6" customWidth="1"/>
    <col min="6662" max="6663" width="32.85546875" style="6" customWidth="1"/>
    <col min="6664" max="6909" width="11.42578125" style="6"/>
    <col min="6910" max="6910" width="1.140625" style="6" customWidth="1"/>
    <col min="6911" max="6911" width="34.85546875" style="6" customWidth="1"/>
    <col min="6912" max="6912" width="3.85546875" style="6" customWidth="1"/>
    <col min="6913" max="6913" width="11.5703125" style="6" bestFit="1" customWidth="1"/>
    <col min="6914" max="6914" width="23.42578125" style="6" customWidth="1"/>
    <col min="6915" max="6915" width="17.7109375" style="6" customWidth="1"/>
    <col min="6916" max="6916" width="1.28515625" style="6" customWidth="1"/>
    <col min="6917" max="6917" width="32.42578125" style="6" customWidth="1"/>
    <col min="6918" max="6919" width="32.85546875" style="6" customWidth="1"/>
    <col min="6920" max="7165" width="11.42578125" style="6"/>
    <col min="7166" max="7166" width="1.140625" style="6" customWidth="1"/>
    <col min="7167" max="7167" width="34.85546875" style="6" customWidth="1"/>
    <col min="7168" max="7168" width="3.85546875" style="6" customWidth="1"/>
    <col min="7169" max="7169" width="11.5703125" style="6" bestFit="1" customWidth="1"/>
    <col min="7170" max="7170" width="23.42578125" style="6" customWidth="1"/>
    <col min="7171" max="7171" width="17.7109375" style="6" customWidth="1"/>
    <col min="7172" max="7172" width="1.28515625" style="6" customWidth="1"/>
    <col min="7173" max="7173" width="32.42578125" style="6" customWidth="1"/>
    <col min="7174" max="7175" width="32.85546875" style="6" customWidth="1"/>
    <col min="7176" max="7421" width="11.42578125" style="6"/>
    <col min="7422" max="7422" width="1.140625" style="6" customWidth="1"/>
    <col min="7423" max="7423" width="34.85546875" style="6" customWidth="1"/>
    <col min="7424" max="7424" width="3.85546875" style="6" customWidth="1"/>
    <col min="7425" max="7425" width="11.5703125" style="6" bestFit="1" customWidth="1"/>
    <col min="7426" max="7426" width="23.42578125" style="6" customWidth="1"/>
    <col min="7427" max="7427" width="17.7109375" style="6" customWidth="1"/>
    <col min="7428" max="7428" width="1.28515625" style="6" customWidth="1"/>
    <col min="7429" max="7429" width="32.42578125" style="6" customWidth="1"/>
    <col min="7430" max="7431" width="32.85546875" style="6" customWidth="1"/>
    <col min="7432" max="7677" width="11.42578125" style="6"/>
    <col min="7678" max="7678" width="1.140625" style="6" customWidth="1"/>
    <col min="7679" max="7679" width="34.85546875" style="6" customWidth="1"/>
    <col min="7680" max="7680" width="3.85546875" style="6" customWidth="1"/>
    <col min="7681" max="7681" width="11.5703125" style="6" bestFit="1" customWidth="1"/>
    <col min="7682" max="7682" width="23.42578125" style="6" customWidth="1"/>
    <col min="7683" max="7683" width="17.7109375" style="6" customWidth="1"/>
    <col min="7684" max="7684" width="1.28515625" style="6" customWidth="1"/>
    <col min="7685" max="7685" width="32.42578125" style="6" customWidth="1"/>
    <col min="7686" max="7687" width="32.85546875" style="6" customWidth="1"/>
    <col min="7688" max="7933" width="11.42578125" style="6"/>
    <col min="7934" max="7934" width="1.140625" style="6" customWidth="1"/>
    <col min="7935" max="7935" width="34.85546875" style="6" customWidth="1"/>
    <col min="7936" max="7936" width="3.85546875" style="6" customWidth="1"/>
    <col min="7937" max="7937" width="11.5703125" style="6" bestFit="1" customWidth="1"/>
    <col min="7938" max="7938" width="23.42578125" style="6" customWidth="1"/>
    <col min="7939" max="7939" width="17.7109375" style="6" customWidth="1"/>
    <col min="7940" max="7940" width="1.28515625" style="6" customWidth="1"/>
    <col min="7941" max="7941" width="32.42578125" style="6" customWidth="1"/>
    <col min="7942" max="7943" width="32.85546875" style="6" customWidth="1"/>
    <col min="7944" max="8189" width="11.42578125" style="6"/>
    <col min="8190" max="8190" width="1.140625" style="6" customWidth="1"/>
    <col min="8191" max="8191" width="34.85546875" style="6" customWidth="1"/>
    <col min="8192" max="8192" width="3.85546875" style="6" customWidth="1"/>
    <col min="8193" max="8193" width="11.5703125" style="6" bestFit="1" customWidth="1"/>
    <col min="8194" max="8194" width="23.42578125" style="6" customWidth="1"/>
    <col min="8195" max="8195" width="17.7109375" style="6" customWidth="1"/>
    <col min="8196" max="8196" width="1.28515625" style="6" customWidth="1"/>
    <col min="8197" max="8197" width="32.42578125" style="6" customWidth="1"/>
    <col min="8198" max="8199" width="32.85546875" style="6" customWidth="1"/>
    <col min="8200" max="8445" width="11.42578125" style="6"/>
    <col min="8446" max="8446" width="1.140625" style="6" customWidth="1"/>
    <col min="8447" max="8447" width="34.85546875" style="6" customWidth="1"/>
    <col min="8448" max="8448" width="3.85546875" style="6" customWidth="1"/>
    <col min="8449" max="8449" width="11.5703125" style="6" bestFit="1" customWidth="1"/>
    <col min="8450" max="8450" width="23.42578125" style="6" customWidth="1"/>
    <col min="8451" max="8451" width="17.7109375" style="6" customWidth="1"/>
    <col min="8452" max="8452" width="1.28515625" style="6" customWidth="1"/>
    <col min="8453" max="8453" width="32.42578125" style="6" customWidth="1"/>
    <col min="8454" max="8455" width="32.85546875" style="6" customWidth="1"/>
    <col min="8456" max="8701" width="11.42578125" style="6"/>
    <col min="8702" max="8702" width="1.140625" style="6" customWidth="1"/>
    <col min="8703" max="8703" width="34.85546875" style="6" customWidth="1"/>
    <col min="8704" max="8704" width="3.85546875" style="6" customWidth="1"/>
    <col min="8705" max="8705" width="11.5703125" style="6" bestFit="1" customWidth="1"/>
    <col min="8706" max="8706" width="23.42578125" style="6" customWidth="1"/>
    <col min="8707" max="8707" width="17.7109375" style="6" customWidth="1"/>
    <col min="8708" max="8708" width="1.28515625" style="6" customWidth="1"/>
    <col min="8709" max="8709" width="32.42578125" style="6" customWidth="1"/>
    <col min="8710" max="8711" width="32.85546875" style="6" customWidth="1"/>
    <col min="8712" max="8957" width="11.42578125" style="6"/>
    <col min="8958" max="8958" width="1.140625" style="6" customWidth="1"/>
    <col min="8959" max="8959" width="34.85546875" style="6" customWidth="1"/>
    <col min="8960" max="8960" width="3.85546875" style="6" customWidth="1"/>
    <col min="8961" max="8961" width="11.5703125" style="6" bestFit="1" customWidth="1"/>
    <col min="8962" max="8962" width="23.42578125" style="6" customWidth="1"/>
    <col min="8963" max="8963" width="17.7109375" style="6" customWidth="1"/>
    <col min="8964" max="8964" width="1.28515625" style="6" customWidth="1"/>
    <col min="8965" max="8965" width="32.42578125" style="6" customWidth="1"/>
    <col min="8966" max="8967" width="32.85546875" style="6" customWidth="1"/>
    <col min="8968" max="9213" width="11.42578125" style="6"/>
    <col min="9214" max="9214" width="1.140625" style="6" customWidth="1"/>
    <col min="9215" max="9215" width="34.85546875" style="6" customWidth="1"/>
    <col min="9216" max="9216" width="3.85546875" style="6" customWidth="1"/>
    <col min="9217" max="9217" width="11.5703125" style="6" bestFit="1" customWidth="1"/>
    <col min="9218" max="9218" width="23.42578125" style="6" customWidth="1"/>
    <col min="9219" max="9219" width="17.7109375" style="6" customWidth="1"/>
    <col min="9220" max="9220" width="1.28515625" style="6" customWidth="1"/>
    <col min="9221" max="9221" width="32.42578125" style="6" customWidth="1"/>
    <col min="9222" max="9223" width="32.85546875" style="6" customWidth="1"/>
    <col min="9224" max="9469" width="11.42578125" style="6"/>
    <col min="9470" max="9470" width="1.140625" style="6" customWidth="1"/>
    <col min="9471" max="9471" width="34.85546875" style="6" customWidth="1"/>
    <col min="9472" max="9472" width="3.85546875" style="6" customWidth="1"/>
    <col min="9473" max="9473" width="11.5703125" style="6" bestFit="1" customWidth="1"/>
    <col min="9474" max="9474" width="23.42578125" style="6" customWidth="1"/>
    <col min="9475" max="9475" width="17.7109375" style="6" customWidth="1"/>
    <col min="9476" max="9476" width="1.28515625" style="6" customWidth="1"/>
    <col min="9477" max="9477" width="32.42578125" style="6" customWidth="1"/>
    <col min="9478" max="9479" width="32.85546875" style="6" customWidth="1"/>
    <col min="9480" max="9725" width="11.42578125" style="6"/>
    <col min="9726" max="9726" width="1.140625" style="6" customWidth="1"/>
    <col min="9727" max="9727" width="34.85546875" style="6" customWidth="1"/>
    <col min="9728" max="9728" width="3.85546875" style="6" customWidth="1"/>
    <col min="9729" max="9729" width="11.5703125" style="6" bestFit="1" customWidth="1"/>
    <col min="9730" max="9730" width="23.42578125" style="6" customWidth="1"/>
    <col min="9731" max="9731" width="17.7109375" style="6" customWidth="1"/>
    <col min="9732" max="9732" width="1.28515625" style="6" customWidth="1"/>
    <col min="9733" max="9733" width="32.42578125" style="6" customWidth="1"/>
    <col min="9734" max="9735" width="32.85546875" style="6" customWidth="1"/>
    <col min="9736" max="9981" width="11.42578125" style="6"/>
    <col min="9982" max="9982" width="1.140625" style="6" customWidth="1"/>
    <col min="9983" max="9983" width="34.85546875" style="6" customWidth="1"/>
    <col min="9984" max="9984" width="3.85546875" style="6" customWidth="1"/>
    <col min="9985" max="9985" width="11.5703125" style="6" bestFit="1" customWidth="1"/>
    <col min="9986" max="9986" width="23.42578125" style="6" customWidth="1"/>
    <col min="9987" max="9987" width="17.7109375" style="6" customWidth="1"/>
    <col min="9988" max="9988" width="1.28515625" style="6" customWidth="1"/>
    <col min="9989" max="9989" width="32.42578125" style="6" customWidth="1"/>
    <col min="9990" max="9991" width="32.85546875" style="6" customWidth="1"/>
    <col min="9992" max="10237" width="11.42578125" style="6"/>
    <col min="10238" max="10238" width="1.140625" style="6" customWidth="1"/>
    <col min="10239" max="10239" width="34.85546875" style="6" customWidth="1"/>
    <col min="10240" max="10240" width="3.85546875" style="6" customWidth="1"/>
    <col min="10241" max="10241" width="11.5703125" style="6" bestFit="1" customWidth="1"/>
    <col min="10242" max="10242" width="23.42578125" style="6" customWidth="1"/>
    <col min="10243" max="10243" width="17.7109375" style="6" customWidth="1"/>
    <col min="10244" max="10244" width="1.28515625" style="6" customWidth="1"/>
    <col min="10245" max="10245" width="32.42578125" style="6" customWidth="1"/>
    <col min="10246" max="10247" width="32.85546875" style="6" customWidth="1"/>
    <col min="10248" max="10493" width="11.42578125" style="6"/>
    <col min="10494" max="10494" width="1.140625" style="6" customWidth="1"/>
    <col min="10495" max="10495" width="34.85546875" style="6" customWidth="1"/>
    <col min="10496" max="10496" width="3.85546875" style="6" customWidth="1"/>
    <col min="10497" max="10497" width="11.5703125" style="6" bestFit="1" customWidth="1"/>
    <col min="10498" max="10498" width="23.42578125" style="6" customWidth="1"/>
    <col min="10499" max="10499" width="17.7109375" style="6" customWidth="1"/>
    <col min="10500" max="10500" width="1.28515625" style="6" customWidth="1"/>
    <col min="10501" max="10501" width="32.42578125" style="6" customWidth="1"/>
    <col min="10502" max="10503" width="32.85546875" style="6" customWidth="1"/>
    <col min="10504" max="10749" width="11.42578125" style="6"/>
    <col min="10750" max="10750" width="1.140625" style="6" customWidth="1"/>
    <col min="10751" max="10751" width="34.85546875" style="6" customWidth="1"/>
    <col min="10752" max="10752" width="3.85546875" style="6" customWidth="1"/>
    <col min="10753" max="10753" width="11.5703125" style="6" bestFit="1" customWidth="1"/>
    <col min="10754" max="10754" width="23.42578125" style="6" customWidth="1"/>
    <col min="10755" max="10755" width="17.7109375" style="6" customWidth="1"/>
    <col min="10756" max="10756" width="1.28515625" style="6" customWidth="1"/>
    <col min="10757" max="10757" width="32.42578125" style="6" customWidth="1"/>
    <col min="10758" max="10759" width="32.85546875" style="6" customWidth="1"/>
    <col min="10760" max="11005" width="11.42578125" style="6"/>
    <col min="11006" max="11006" width="1.140625" style="6" customWidth="1"/>
    <col min="11007" max="11007" width="34.85546875" style="6" customWidth="1"/>
    <col min="11008" max="11008" width="3.85546875" style="6" customWidth="1"/>
    <col min="11009" max="11009" width="11.5703125" style="6" bestFit="1" customWidth="1"/>
    <col min="11010" max="11010" width="23.42578125" style="6" customWidth="1"/>
    <col min="11011" max="11011" width="17.7109375" style="6" customWidth="1"/>
    <col min="11012" max="11012" width="1.28515625" style="6" customWidth="1"/>
    <col min="11013" max="11013" width="32.42578125" style="6" customWidth="1"/>
    <col min="11014" max="11015" width="32.85546875" style="6" customWidth="1"/>
    <col min="11016" max="11261" width="11.42578125" style="6"/>
    <col min="11262" max="11262" width="1.140625" style="6" customWidth="1"/>
    <col min="11263" max="11263" width="34.85546875" style="6" customWidth="1"/>
    <col min="11264" max="11264" width="3.85546875" style="6" customWidth="1"/>
    <col min="11265" max="11265" width="11.5703125" style="6" bestFit="1" customWidth="1"/>
    <col min="11266" max="11266" width="23.42578125" style="6" customWidth="1"/>
    <col min="11267" max="11267" width="17.7109375" style="6" customWidth="1"/>
    <col min="11268" max="11268" width="1.28515625" style="6" customWidth="1"/>
    <col min="11269" max="11269" width="32.42578125" style="6" customWidth="1"/>
    <col min="11270" max="11271" width="32.85546875" style="6" customWidth="1"/>
    <col min="11272" max="11517" width="11.42578125" style="6"/>
    <col min="11518" max="11518" width="1.140625" style="6" customWidth="1"/>
    <col min="11519" max="11519" width="34.85546875" style="6" customWidth="1"/>
    <col min="11520" max="11520" width="3.85546875" style="6" customWidth="1"/>
    <col min="11521" max="11521" width="11.5703125" style="6" bestFit="1" customWidth="1"/>
    <col min="11522" max="11522" width="23.42578125" style="6" customWidth="1"/>
    <col min="11523" max="11523" width="17.7109375" style="6" customWidth="1"/>
    <col min="11524" max="11524" width="1.28515625" style="6" customWidth="1"/>
    <col min="11525" max="11525" width="32.42578125" style="6" customWidth="1"/>
    <col min="11526" max="11527" width="32.85546875" style="6" customWidth="1"/>
    <col min="11528" max="11773" width="11.42578125" style="6"/>
    <col min="11774" max="11774" width="1.140625" style="6" customWidth="1"/>
    <col min="11775" max="11775" width="34.85546875" style="6" customWidth="1"/>
    <col min="11776" max="11776" width="3.85546875" style="6" customWidth="1"/>
    <col min="11777" max="11777" width="11.5703125" style="6" bestFit="1" customWidth="1"/>
    <col min="11778" max="11778" width="23.42578125" style="6" customWidth="1"/>
    <col min="11779" max="11779" width="17.7109375" style="6" customWidth="1"/>
    <col min="11780" max="11780" width="1.28515625" style="6" customWidth="1"/>
    <col min="11781" max="11781" width="32.42578125" style="6" customWidth="1"/>
    <col min="11782" max="11783" width="32.85546875" style="6" customWidth="1"/>
    <col min="11784" max="12029" width="11.42578125" style="6"/>
    <col min="12030" max="12030" width="1.140625" style="6" customWidth="1"/>
    <col min="12031" max="12031" width="34.85546875" style="6" customWidth="1"/>
    <col min="12032" max="12032" width="3.85546875" style="6" customWidth="1"/>
    <col min="12033" max="12033" width="11.5703125" style="6" bestFit="1" customWidth="1"/>
    <col min="12034" max="12034" width="23.42578125" style="6" customWidth="1"/>
    <col min="12035" max="12035" width="17.7109375" style="6" customWidth="1"/>
    <col min="12036" max="12036" width="1.28515625" style="6" customWidth="1"/>
    <col min="12037" max="12037" width="32.42578125" style="6" customWidth="1"/>
    <col min="12038" max="12039" width="32.85546875" style="6" customWidth="1"/>
    <col min="12040" max="12285" width="11.42578125" style="6"/>
    <col min="12286" max="12286" width="1.140625" style="6" customWidth="1"/>
    <col min="12287" max="12287" width="34.85546875" style="6" customWidth="1"/>
    <col min="12288" max="12288" width="3.85546875" style="6" customWidth="1"/>
    <col min="12289" max="12289" width="11.5703125" style="6" bestFit="1" customWidth="1"/>
    <col min="12290" max="12290" width="23.42578125" style="6" customWidth="1"/>
    <col min="12291" max="12291" width="17.7109375" style="6" customWidth="1"/>
    <col min="12292" max="12292" width="1.28515625" style="6" customWidth="1"/>
    <col min="12293" max="12293" width="32.42578125" style="6" customWidth="1"/>
    <col min="12294" max="12295" width="32.85546875" style="6" customWidth="1"/>
    <col min="12296" max="12541" width="11.42578125" style="6"/>
    <col min="12542" max="12542" width="1.140625" style="6" customWidth="1"/>
    <col min="12543" max="12543" width="34.85546875" style="6" customWidth="1"/>
    <col min="12544" max="12544" width="3.85546875" style="6" customWidth="1"/>
    <col min="12545" max="12545" width="11.5703125" style="6" bestFit="1" customWidth="1"/>
    <col min="12546" max="12546" width="23.42578125" style="6" customWidth="1"/>
    <col min="12547" max="12547" width="17.7109375" style="6" customWidth="1"/>
    <col min="12548" max="12548" width="1.28515625" style="6" customWidth="1"/>
    <col min="12549" max="12549" width="32.42578125" style="6" customWidth="1"/>
    <col min="12550" max="12551" width="32.85546875" style="6" customWidth="1"/>
    <col min="12552" max="12797" width="11.42578125" style="6"/>
    <col min="12798" max="12798" width="1.140625" style="6" customWidth="1"/>
    <col min="12799" max="12799" width="34.85546875" style="6" customWidth="1"/>
    <col min="12800" max="12800" width="3.85546875" style="6" customWidth="1"/>
    <col min="12801" max="12801" width="11.5703125" style="6" bestFit="1" customWidth="1"/>
    <col min="12802" max="12802" width="23.42578125" style="6" customWidth="1"/>
    <col min="12803" max="12803" width="17.7109375" style="6" customWidth="1"/>
    <col min="12804" max="12804" width="1.28515625" style="6" customWidth="1"/>
    <col min="12805" max="12805" width="32.42578125" style="6" customWidth="1"/>
    <col min="12806" max="12807" width="32.85546875" style="6" customWidth="1"/>
    <col min="12808" max="13053" width="11.42578125" style="6"/>
    <col min="13054" max="13054" width="1.140625" style="6" customWidth="1"/>
    <col min="13055" max="13055" width="34.85546875" style="6" customWidth="1"/>
    <col min="13056" max="13056" width="3.85546875" style="6" customWidth="1"/>
    <col min="13057" max="13057" width="11.5703125" style="6" bestFit="1" customWidth="1"/>
    <col min="13058" max="13058" width="23.42578125" style="6" customWidth="1"/>
    <col min="13059" max="13059" width="17.7109375" style="6" customWidth="1"/>
    <col min="13060" max="13060" width="1.28515625" style="6" customWidth="1"/>
    <col min="13061" max="13061" width="32.42578125" style="6" customWidth="1"/>
    <col min="13062" max="13063" width="32.85546875" style="6" customWidth="1"/>
    <col min="13064" max="13309" width="11.42578125" style="6"/>
    <col min="13310" max="13310" width="1.140625" style="6" customWidth="1"/>
    <col min="13311" max="13311" width="34.85546875" style="6" customWidth="1"/>
    <col min="13312" max="13312" width="3.85546875" style="6" customWidth="1"/>
    <col min="13313" max="13313" width="11.5703125" style="6" bestFit="1" customWidth="1"/>
    <col min="13314" max="13314" width="23.42578125" style="6" customWidth="1"/>
    <col min="13315" max="13315" width="17.7109375" style="6" customWidth="1"/>
    <col min="13316" max="13316" width="1.28515625" style="6" customWidth="1"/>
    <col min="13317" max="13317" width="32.42578125" style="6" customWidth="1"/>
    <col min="13318" max="13319" width="32.85546875" style="6" customWidth="1"/>
    <col min="13320" max="13565" width="11.42578125" style="6"/>
    <col min="13566" max="13566" width="1.140625" style="6" customWidth="1"/>
    <col min="13567" max="13567" width="34.85546875" style="6" customWidth="1"/>
    <col min="13568" max="13568" width="3.85546875" style="6" customWidth="1"/>
    <col min="13569" max="13569" width="11.5703125" style="6" bestFit="1" customWidth="1"/>
    <col min="13570" max="13570" width="23.42578125" style="6" customWidth="1"/>
    <col min="13571" max="13571" width="17.7109375" style="6" customWidth="1"/>
    <col min="13572" max="13572" width="1.28515625" style="6" customWidth="1"/>
    <col min="13573" max="13573" width="32.42578125" style="6" customWidth="1"/>
    <col min="13574" max="13575" width="32.85546875" style="6" customWidth="1"/>
    <col min="13576" max="13821" width="11.42578125" style="6"/>
    <col min="13822" max="13822" width="1.140625" style="6" customWidth="1"/>
    <col min="13823" max="13823" width="34.85546875" style="6" customWidth="1"/>
    <col min="13824" max="13824" width="3.85546875" style="6" customWidth="1"/>
    <col min="13825" max="13825" width="11.5703125" style="6" bestFit="1" customWidth="1"/>
    <col min="13826" max="13826" width="23.42578125" style="6" customWidth="1"/>
    <col min="13827" max="13827" width="17.7109375" style="6" customWidth="1"/>
    <col min="13828" max="13828" width="1.28515625" style="6" customWidth="1"/>
    <col min="13829" max="13829" width="32.42578125" style="6" customWidth="1"/>
    <col min="13830" max="13831" width="32.85546875" style="6" customWidth="1"/>
    <col min="13832" max="14077" width="11.42578125" style="6"/>
    <col min="14078" max="14078" width="1.140625" style="6" customWidth="1"/>
    <col min="14079" max="14079" width="34.85546875" style="6" customWidth="1"/>
    <col min="14080" max="14080" width="3.85546875" style="6" customWidth="1"/>
    <col min="14081" max="14081" width="11.5703125" style="6" bestFit="1" customWidth="1"/>
    <col min="14082" max="14082" width="23.42578125" style="6" customWidth="1"/>
    <col min="14083" max="14083" width="17.7109375" style="6" customWidth="1"/>
    <col min="14084" max="14084" width="1.28515625" style="6" customWidth="1"/>
    <col min="14085" max="14085" width="32.42578125" style="6" customWidth="1"/>
    <col min="14086" max="14087" width="32.85546875" style="6" customWidth="1"/>
    <col min="14088" max="14333" width="11.42578125" style="6"/>
    <col min="14334" max="14334" width="1.140625" style="6" customWidth="1"/>
    <col min="14335" max="14335" width="34.85546875" style="6" customWidth="1"/>
    <col min="14336" max="14336" width="3.85546875" style="6" customWidth="1"/>
    <col min="14337" max="14337" width="11.5703125" style="6" bestFit="1" customWidth="1"/>
    <col min="14338" max="14338" width="23.42578125" style="6" customWidth="1"/>
    <col min="14339" max="14339" width="17.7109375" style="6" customWidth="1"/>
    <col min="14340" max="14340" width="1.28515625" style="6" customWidth="1"/>
    <col min="14341" max="14341" width="32.42578125" style="6" customWidth="1"/>
    <col min="14342" max="14343" width="32.85546875" style="6" customWidth="1"/>
    <col min="14344" max="14589" width="11.42578125" style="6"/>
    <col min="14590" max="14590" width="1.140625" style="6" customWidth="1"/>
    <col min="14591" max="14591" width="34.85546875" style="6" customWidth="1"/>
    <col min="14592" max="14592" width="3.85546875" style="6" customWidth="1"/>
    <col min="14593" max="14593" width="11.5703125" style="6" bestFit="1" customWidth="1"/>
    <col min="14594" max="14594" width="23.42578125" style="6" customWidth="1"/>
    <col min="14595" max="14595" width="17.7109375" style="6" customWidth="1"/>
    <col min="14596" max="14596" width="1.28515625" style="6" customWidth="1"/>
    <col min="14597" max="14597" width="32.42578125" style="6" customWidth="1"/>
    <col min="14598" max="14599" width="32.85546875" style="6" customWidth="1"/>
    <col min="14600" max="14845" width="11.42578125" style="6"/>
    <col min="14846" max="14846" width="1.140625" style="6" customWidth="1"/>
    <col min="14847" max="14847" width="34.85546875" style="6" customWidth="1"/>
    <col min="14848" max="14848" width="3.85546875" style="6" customWidth="1"/>
    <col min="14849" max="14849" width="11.5703125" style="6" bestFit="1" customWidth="1"/>
    <col min="14850" max="14850" width="23.42578125" style="6" customWidth="1"/>
    <col min="14851" max="14851" width="17.7109375" style="6" customWidth="1"/>
    <col min="14852" max="14852" width="1.28515625" style="6" customWidth="1"/>
    <col min="14853" max="14853" width="32.42578125" style="6" customWidth="1"/>
    <col min="14854" max="14855" width="32.85546875" style="6" customWidth="1"/>
    <col min="14856" max="15101" width="11.42578125" style="6"/>
    <col min="15102" max="15102" width="1.140625" style="6" customWidth="1"/>
    <col min="15103" max="15103" width="34.85546875" style="6" customWidth="1"/>
    <col min="15104" max="15104" width="3.85546875" style="6" customWidth="1"/>
    <col min="15105" max="15105" width="11.5703125" style="6" bestFit="1" customWidth="1"/>
    <col min="15106" max="15106" width="23.42578125" style="6" customWidth="1"/>
    <col min="15107" max="15107" width="17.7109375" style="6" customWidth="1"/>
    <col min="15108" max="15108" width="1.28515625" style="6" customWidth="1"/>
    <col min="15109" max="15109" width="32.42578125" style="6" customWidth="1"/>
    <col min="15110" max="15111" width="32.85546875" style="6" customWidth="1"/>
    <col min="15112" max="15357" width="11.42578125" style="6"/>
    <col min="15358" max="15358" width="1.140625" style="6" customWidth="1"/>
    <col min="15359" max="15359" width="34.85546875" style="6" customWidth="1"/>
    <col min="15360" max="15360" width="3.85546875" style="6" customWidth="1"/>
    <col min="15361" max="15361" width="11.5703125" style="6" bestFit="1" customWidth="1"/>
    <col min="15362" max="15362" width="23.42578125" style="6" customWidth="1"/>
    <col min="15363" max="15363" width="17.7109375" style="6" customWidth="1"/>
    <col min="15364" max="15364" width="1.28515625" style="6" customWidth="1"/>
    <col min="15365" max="15365" width="32.42578125" style="6" customWidth="1"/>
    <col min="15366" max="15367" width="32.85546875" style="6" customWidth="1"/>
    <col min="15368" max="15613" width="11.42578125" style="6"/>
    <col min="15614" max="15614" width="1.140625" style="6" customWidth="1"/>
    <col min="15615" max="15615" width="34.85546875" style="6" customWidth="1"/>
    <col min="15616" max="15616" width="3.85546875" style="6" customWidth="1"/>
    <col min="15617" max="15617" width="11.5703125" style="6" bestFit="1" customWidth="1"/>
    <col min="15618" max="15618" width="23.42578125" style="6" customWidth="1"/>
    <col min="15619" max="15619" width="17.7109375" style="6" customWidth="1"/>
    <col min="15620" max="15620" width="1.28515625" style="6" customWidth="1"/>
    <col min="15621" max="15621" width="32.42578125" style="6" customWidth="1"/>
    <col min="15622" max="15623" width="32.85546875" style="6" customWidth="1"/>
    <col min="15624" max="15869" width="11.42578125" style="6"/>
    <col min="15870" max="15870" width="1.140625" style="6" customWidth="1"/>
    <col min="15871" max="15871" width="34.85546875" style="6" customWidth="1"/>
    <col min="15872" max="15872" width="3.85546875" style="6" customWidth="1"/>
    <col min="15873" max="15873" width="11.5703125" style="6" bestFit="1" customWidth="1"/>
    <col min="15874" max="15874" width="23.42578125" style="6" customWidth="1"/>
    <col min="15875" max="15875" width="17.7109375" style="6" customWidth="1"/>
    <col min="15876" max="15876" width="1.28515625" style="6" customWidth="1"/>
    <col min="15877" max="15877" width="32.42578125" style="6" customWidth="1"/>
    <col min="15878" max="15879" width="32.85546875" style="6" customWidth="1"/>
    <col min="15880" max="16125" width="11.42578125" style="6"/>
    <col min="16126" max="16126" width="1.140625" style="6" customWidth="1"/>
    <col min="16127" max="16127" width="34.85546875" style="6" customWidth="1"/>
    <col min="16128" max="16128" width="3.85546875" style="6" customWidth="1"/>
    <col min="16129" max="16129" width="11.5703125" style="6" bestFit="1" customWidth="1"/>
    <col min="16130" max="16130" width="23.42578125" style="6" customWidth="1"/>
    <col min="16131" max="16131" width="17.7109375" style="6" customWidth="1"/>
    <col min="16132" max="16132" width="1.28515625" style="6" customWidth="1"/>
    <col min="16133" max="16133" width="32.42578125" style="6" customWidth="1"/>
    <col min="16134" max="16135" width="32.85546875" style="6" customWidth="1"/>
    <col min="16136" max="16384" width="11.42578125" style="6"/>
  </cols>
  <sheetData>
    <row r="2" spans="1:8" s="2" customFormat="1" ht="30">
      <c r="A2" s="3" t="s">
        <v>98</v>
      </c>
    </row>
    <row r="3" spans="1:8" s="2" customFormat="1" ht="20.25">
      <c r="A3" s="30" t="s">
        <v>258</v>
      </c>
      <c r="B3" s="30"/>
      <c r="C3" s="30"/>
      <c r="D3" s="30"/>
      <c r="E3" s="30"/>
      <c r="F3" s="30"/>
      <c r="G3" s="30"/>
    </row>
    <row r="4" spans="1:8" s="5" customFormat="1" ht="20.25">
      <c r="A4" s="30" t="s">
        <v>264</v>
      </c>
      <c r="B4" s="30"/>
      <c r="C4" s="30"/>
      <c r="D4" s="30"/>
      <c r="E4" s="30"/>
      <c r="F4" s="30"/>
      <c r="G4" s="30"/>
    </row>
    <row r="5" spans="1:8" s="5" customFormat="1" ht="20.25">
      <c r="A5" s="32"/>
      <c r="B5" s="33"/>
      <c r="C5" s="33"/>
      <c r="D5" s="33"/>
      <c r="E5" s="30"/>
      <c r="F5" s="30"/>
      <c r="G5" s="30"/>
    </row>
    <row r="6" spans="1:8" ht="20.25">
      <c r="A6" s="32" t="s">
        <v>1</v>
      </c>
      <c r="B6" s="33"/>
      <c r="C6" s="34"/>
      <c r="D6" s="35"/>
      <c r="E6" s="30"/>
      <c r="F6" s="30"/>
      <c r="G6" s="30"/>
    </row>
    <row r="7" spans="1:8" ht="20.25">
      <c r="A7" s="33" t="s">
        <v>102</v>
      </c>
      <c r="B7" s="33">
        <v>1</v>
      </c>
      <c r="C7" s="36">
        <v>3500</v>
      </c>
      <c r="D7" s="37">
        <f>SUM(B7*C7)</f>
        <v>3500</v>
      </c>
      <c r="E7" s="30"/>
      <c r="F7" s="30"/>
      <c r="G7" s="30"/>
    </row>
    <row r="8" spans="1:8" ht="20.25">
      <c r="A8" s="33" t="s">
        <v>105</v>
      </c>
      <c r="B8" s="33">
        <v>10</v>
      </c>
      <c r="C8" s="36">
        <v>0</v>
      </c>
      <c r="D8" s="47">
        <f>SUM(B8*C8)</f>
        <v>0</v>
      </c>
      <c r="E8" s="30"/>
      <c r="F8" s="30"/>
      <c r="G8" s="30"/>
    </row>
    <row r="9" spans="1:8" ht="20.25">
      <c r="A9" s="32" t="s">
        <v>19</v>
      </c>
      <c r="B9" s="33"/>
      <c r="C9" s="33"/>
      <c r="D9" s="35">
        <f>SUM(D7:D8)</f>
        <v>3500</v>
      </c>
      <c r="E9" s="30"/>
      <c r="F9" s="30"/>
      <c r="G9" s="30"/>
    </row>
    <row r="10" spans="1:8" ht="20.25">
      <c r="A10" s="32"/>
      <c r="B10" s="33"/>
      <c r="C10" s="33"/>
      <c r="D10" s="35"/>
      <c r="E10" s="30"/>
      <c r="F10" s="30"/>
      <c r="G10" s="30"/>
    </row>
    <row r="11" spans="1:8" s="5" customFormat="1" ht="20.25">
      <c r="A11" s="32" t="s">
        <v>106</v>
      </c>
      <c r="B11" s="38"/>
      <c r="C11" s="39"/>
      <c r="D11" s="40"/>
      <c r="E11" s="30"/>
      <c r="F11" s="30"/>
      <c r="G11" s="30"/>
    </row>
    <row r="12" spans="1:8" s="5" customFormat="1" ht="20.25">
      <c r="A12" s="33" t="s">
        <v>110</v>
      </c>
      <c r="B12" s="33">
        <v>1</v>
      </c>
      <c r="C12" s="42">
        <v>300</v>
      </c>
      <c r="D12" s="44">
        <f>SUM(B12*C12)</f>
        <v>300</v>
      </c>
      <c r="E12" s="30"/>
      <c r="F12" s="30"/>
      <c r="G12" s="30"/>
    </row>
    <row r="13" spans="1:8" s="5" customFormat="1" ht="20.25">
      <c r="A13" s="33" t="s">
        <v>109</v>
      </c>
      <c r="B13" s="33">
        <v>8</v>
      </c>
      <c r="C13" s="42">
        <v>350</v>
      </c>
      <c r="D13" s="37">
        <f>SUM(B13*C13)</f>
        <v>2800</v>
      </c>
      <c r="E13" s="30"/>
      <c r="F13" s="30"/>
      <c r="G13" s="30"/>
      <c r="H13" s="7"/>
    </row>
    <row r="14" spans="1:8" s="5" customFormat="1" ht="20.25">
      <c r="A14" s="33" t="s">
        <v>111</v>
      </c>
      <c r="B14" s="33">
        <v>1</v>
      </c>
      <c r="C14" s="42">
        <v>250</v>
      </c>
      <c r="D14" s="37">
        <f>SUM(B14*C14)</f>
        <v>250</v>
      </c>
      <c r="E14" s="30" t="s">
        <v>112</v>
      </c>
      <c r="F14" s="30"/>
      <c r="G14" s="30"/>
    </row>
    <row r="15" spans="1:8" s="5" customFormat="1" ht="20.25">
      <c r="A15" s="33" t="s">
        <v>119</v>
      </c>
      <c r="B15" s="33">
        <v>2.5</v>
      </c>
      <c r="C15" s="42">
        <f>25*10</f>
        <v>250</v>
      </c>
      <c r="D15" s="37">
        <f>SUM(B15*C15)</f>
        <v>625</v>
      </c>
      <c r="E15" s="30" t="s">
        <v>265</v>
      </c>
      <c r="F15" s="30"/>
      <c r="G15" s="30"/>
    </row>
    <row r="16" spans="1:8" s="5" customFormat="1" ht="20.25">
      <c r="A16" s="33" t="s">
        <v>107</v>
      </c>
      <c r="B16" s="33"/>
      <c r="C16" s="41">
        <v>0</v>
      </c>
      <c r="D16" s="37">
        <f>SUM(B16*C16)</f>
        <v>0</v>
      </c>
      <c r="E16" s="30"/>
      <c r="F16" s="30"/>
      <c r="G16" s="30" t="s">
        <v>108</v>
      </c>
    </row>
    <row r="17" spans="1:9" s="5" customFormat="1" ht="20.25">
      <c r="A17" s="33" t="s">
        <v>205</v>
      </c>
      <c r="B17" s="33">
        <v>1</v>
      </c>
      <c r="C17" s="42">
        <v>1000</v>
      </c>
      <c r="D17" s="37">
        <f>SUM(C17*B17)</f>
        <v>1000</v>
      </c>
      <c r="E17" s="43"/>
      <c r="F17" s="30"/>
      <c r="G17" s="30"/>
      <c r="H17" s="7"/>
    </row>
    <row r="18" spans="1:9" s="5" customFormat="1" ht="20.25">
      <c r="A18" s="33"/>
      <c r="B18" s="33"/>
      <c r="C18" s="42"/>
      <c r="D18" s="37"/>
      <c r="E18" s="43"/>
      <c r="F18" s="30"/>
      <c r="G18" s="30"/>
      <c r="H18" s="7"/>
    </row>
    <row r="19" spans="1:9" s="5" customFormat="1" ht="20.25">
      <c r="A19" s="54" t="s">
        <v>207</v>
      </c>
      <c r="B19" s="33"/>
      <c r="C19" s="42"/>
      <c r="D19" s="37"/>
      <c r="E19" s="43"/>
      <c r="F19" s="30"/>
      <c r="G19" s="30"/>
      <c r="H19" s="7"/>
    </row>
    <row r="20" spans="1:9" s="5" customFormat="1" ht="20.25">
      <c r="A20" s="33" t="s">
        <v>113</v>
      </c>
      <c r="B20" s="33">
        <v>1</v>
      </c>
      <c r="C20" s="42">
        <v>350</v>
      </c>
      <c r="D20" s="37">
        <f>SUM(B20*C20)</f>
        <v>350</v>
      </c>
      <c r="E20" s="45"/>
      <c r="F20" s="45"/>
      <c r="G20" s="45"/>
      <c r="H20" s="8"/>
      <c r="I20" s="8"/>
    </row>
    <row r="21" spans="1:9" s="5" customFormat="1" ht="20.25">
      <c r="A21" s="33" t="s">
        <v>187</v>
      </c>
      <c r="B21" s="33">
        <v>0</v>
      </c>
      <c r="C21" s="42">
        <v>0</v>
      </c>
      <c r="D21" s="37">
        <f>SUM(B21*C21)</f>
        <v>0</v>
      </c>
      <c r="E21" s="30" t="s">
        <v>266</v>
      </c>
      <c r="F21" s="30"/>
      <c r="G21" s="30"/>
    </row>
    <row r="22" spans="1:9" s="5" customFormat="1" ht="20.25">
      <c r="A22" s="33" t="s">
        <v>188</v>
      </c>
      <c r="B22" s="33">
        <v>0</v>
      </c>
      <c r="C22" s="42">
        <v>0</v>
      </c>
      <c r="D22" s="47">
        <f>SUM(B22*C22)</f>
        <v>0</v>
      </c>
      <c r="E22" s="30" t="s">
        <v>266</v>
      </c>
      <c r="F22" s="30"/>
      <c r="G22" s="30"/>
    </row>
    <row r="23" spans="1:9" s="5" customFormat="1" ht="20.25">
      <c r="A23" s="54" t="s">
        <v>208</v>
      </c>
      <c r="B23" s="33"/>
      <c r="C23" s="42"/>
      <c r="D23" s="55">
        <f>SUM(D20:D22)</f>
        <v>350</v>
      </c>
      <c r="E23" s="30"/>
      <c r="F23" s="30"/>
      <c r="G23" s="30"/>
    </row>
    <row r="24" spans="1:9" s="5" customFormat="1" ht="20.25">
      <c r="A24" s="54"/>
      <c r="B24" s="33"/>
      <c r="C24" s="42"/>
      <c r="D24" s="37"/>
      <c r="E24" s="30"/>
      <c r="F24" s="30"/>
      <c r="G24" s="30"/>
    </row>
    <row r="25" spans="1:9" s="5" customFormat="1" ht="20.25">
      <c r="A25" s="33" t="s">
        <v>220</v>
      </c>
      <c r="B25" s="33">
        <v>1</v>
      </c>
      <c r="C25" s="42">
        <v>0</v>
      </c>
      <c r="D25" s="37">
        <f>SUM(B25*C25)</f>
        <v>0</v>
      </c>
      <c r="E25" s="30"/>
      <c r="F25" s="30"/>
      <c r="G25" s="30"/>
    </row>
    <row r="26" spans="1:9" s="5" customFormat="1" ht="20.25">
      <c r="A26" s="33" t="s">
        <v>121</v>
      </c>
      <c r="B26" s="33"/>
      <c r="C26" s="42"/>
      <c r="D26" s="47"/>
      <c r="E26" s="30"/>
      <c r="F26" s="30"/>
      <c r="G26" s="30"/>
    </row>
    <row r="27" spans="1:9" s="5" customFormat="1" ht="20.25">
      <c r="A27" s="32" t="s">
        <v>122</v>
      </c>
      <c r="B27" s="33"/>
      <c r="C27" s="34"/>
      <c r="D27" s="48">
        <f>SUM(D12:D17)+D23+D25+D26</f>
        <v>5325</v>
      </c>
      <c r="E27" s="30"/>
      <c r="F27" s="30"/>
      <c r="G27" s="30"/>
    </row>
    <row r="28" spans="1:9" ht="20.25">
      <c r="A28" s="33"/>
      <c r="B28" s="33"/>
      <c r="C28" s="33"/>
      <c r="D28" s="40"/>
      <c r="E28" s="30"/>
      <c r="F28" s="30"/>
      <c r="G28" s="30"/>
    </row>
    <row r="29" spans="1:9" ht="20.25">
      <c r="A29" s="32" t="s">
        <v>85</v>
      </c>
      <c r="B29" s="33"/>
      <c r="C29" s="33"/>
      <c r="D29" s="46">
        <f>D9-D27</f>
        <v>-1825</v>
      </c>
      <c r="E29" s="30"/>
      <c r="F29" s="30"/>
      <c r="G29" s="30"/>
    </row>
    <row r="30" spans="1:9" ht="15">
      <c r="A30" s="9"/>
      <c r="B30" s="9"/>
      <c r="C30" s="9"/>
      <c r="D30" s="9"/>
    </row>
    <row r="31" spans="1:9" ht="15">
      <c r="A31" s="9"/>
      <c r="B31" s="9"/>
      <c r="C31" s="9"/>
      <c r="D31" s="9"/>
    </row>
    <row r="32" spans="1:9" ht="15">
      <c r="A32" s="9"/>
      <c r="B32" s="9"/>
      <c r="C32" s="9"/>
      <c r="D32" s="9"/>
    </row>
    <row r="33" spans="1:4" ht="15">
      <c r="A33" s="9"/>
      <c r="B33" s="9"/>
      <c r="C33" s="9"/>
      <c r="D33" s="9"/>
    </row>
    <row r="34" spans="1:4" ht="15">
      <c r="A34" s="9"/>
      <c r="B34" s="9"/>
      <c r="C34" s="9"/>
      <c r="D34" s="9"/>
    </row>
    <row r="35" spans="1:4" ht="15">
      <c r="A35" s="9"/>
      <c r="B35" s="9"/>
      <c r="C35" s="9"/>
      <c r="D35" s="9"/>
    </row>
    <row r="36" spans="1:4" ht="15">
      <c r="A36" s="9"/>
      <c r="B36" s="9"/>
      <c r="C36" s="9"/>
      <c r="D36" s="9"/>
    </row>
    <row r="37" spans="1:4" ht="15">
      <c r="A37" s="9"/>
      <c r="B37" s="9"/>
      <c r="C37" s="9"/>
      <c r="D37" s="9"/>
    </row>
    <row r="38" spans="1:4" ht="15">
      <c r="A38" s="9"/>
      <c r="B38" s="9"/>
      <c r="C38" s="9"/>
      <c r="D38" s="9"/>
    </row>
    <row r="39" spans="1:4" ht="15">
      <c r="A39" s="9"/>
      <c r="B39" s="9"/>
      <c r="C39" s="9"/>
      <c r="D39" s="9"/>
    </row>
    <row r="40" spans="1:4" ht="15">
      <c r="A40" s="9"/>
      <c r="B40" s="9"/>
      <c r="C40" s="9"/>
      <c r="D40" s="9"/>
    </row>
    <row r="41" spans="1:4" ht="15">
      <c r="A41" s="9"/>
      <c r="B41" s="9"/>
      <c r="C41" s="9"/>
      <c r="D41" s="9"/>
    </row>
    <row r="42" spans="1:4" ht="15">
      <c r="A42" s="9"/>
      <c r="B42" s="9"/>
      <c r="C42" s="9"/>
      <c r="D42" s="9"/>
    </row>
    <row r="43" spans="1:4" ht="15">
      <c r="A43" s="9"/>
      <c r="B43" s="9"/>
      <c r="C43" s="9"/>
      <c r="D43" s="9"/>
    </row>
    <row r="44" spans="1:4" ht="15">
      <c r="A44" s="9"/>
      <c r="B44" s="9"/>
      <c r="C44" s="9"/>
      <c r="D44" s="9"/>
    </row>
    <row r="45" spans="1:4" ht="15">
      <c r="A45" s="9"/>
      <c r="B45" s="9"/>
      <c r="C45" s="9"/>
      <c r="D45" s="9"/>
    </row>
    <row r="46" spans="1:4" ht="15">
      <c r="A46" s="9"/>
      <c r="B46" s="9"/>
      <c r="C46" s="9"/>
      <c r="D46" s="9"/>
    </row>
    <row r="47" spans="1:4" ht="15">
      <c r="A47" s="9"/>
      <c r="B47" s="9"/>
      <c r="C47" s="9"/>
      <c r="D47" s="9"/>
    </row>
    <row r="48" spans="1:4" ht="15">
      <c r="A48" s="9"/>
      <c r="B48" s="9"/>
      <c r="C48" s="9"/>
      <c r="D48" s="9"/>
    </row>
    <row r="49" spans="1:1" ht="15">
      <c r="A49" s="9"/>
    </row>
    <row r="50" spans="1:1" ht="15">
      <c r="A50" s="9"/>
    </row>
    <row r="51" spans="1:1" ht="15">
      <c r="A51" s="9"/>
    </row>
    <row r="52" spans="1:1" ht="15">
      <c r="A52" s="9"/>
    </row>
  </sheetData>
  <printOptions horizontalCentered="1" verticalCentered="1"/>
  <pageMargins left="0.5" right="0.5" top="0.5" bottom="0.5" header="0.5" footer="0.5"/>
  <pageSetup scale="69"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sqref="A1:XFD1"/>
    </sheetView>
  </sheetViews>
  <sheetFormatPr defaultColWidth="11.42578125" defaultRowHeight="12"/>
  <cols>
    <col min="1" max="1" width="46.85546875" style="6" customWidth="1"/>
    <col min="2" max="2" width="6.85546875" style="6" customWidth="1"/>
    <col min="3" max="3" width="18.85546875" style="6" customWidth="1"/>
    <col min="4" max="4" width="19.28515625" style="6" customWidth="1"/>
    <col min="5" max="5" width="32.42578125" style="6" customWidth="1"/>
    <col min="6" max="7" width="32.85546875" style="6" customWidth="1"/>
    <col min="8" max="253" width="11.42578125" style="6"/>
    <col min="254" max="254" width="1.140625" style="6" customWidth="1"/>
    <col min="255" max="255" width="34.85546875" style="6" customWidth="1"/>
    <col min="256" max="256" width="3.85546875" style="6" customWidth="1"/>
    <col min="257" max="257" width="11.5703125" style="6" bestFit="1" customWidth="1"/>
    <col min="258" max="258" width="23.42578125" style="6" customWidth="1"/>
    <col min="259" max="259" width="17.7109375" style="6" customWidth="1"/>
    <col min="260" max="260" width="1.28515625" style="6" customWidth="1"/>
    <col min="261" max="261" width="32.42578125" style="6" customWidth="1"/>
    <col min="262" max="263" width="32.85546875" style="6" customWidth="1"/>
    <col min="264" max="509" width="11.42578125" style="6"/>
    <col min="510" max="510" width="1.140625" style="6" customWidth="1"/>
    <col min="511" max="511" width="34.85546875" style="6" customWidth="1"/>
    <col min="512" max="512" width="3.85546875" style="6" customWidth="1"/>
    <col min="513" max="513" width="11.5703125" style="6" bestFit="1" customWidth="1"/>
    <col min="514" max="514" width="23.42578125" style="6" customWidth="1"/>
    <col min="515" max="515" width="17.7109375" style="6" customWidth="1"/>
    <col min="516" max="516" width="1.28515625" style="6" customWidth="1"/>
    <col min="517" max="517" width="32.42578125" style="6" customWidth="1"/>
    <col min="518" max="519" width="32.85546875" style="6" customWidth="1"/>
    <col min="520" max="765" width="11.42578125" style="6"/>
    <col min="766" max="766" width="1.140625" style="6" customWidth="1"/>
    <col min="767" max="767" width="34.85546875" style="6" customWidth="1"/>
    <col min="768" max="768" width="3.85546875" style="6" customWidth="1"/>
    <col min="769" max="769" width="11.5703125" style="6" bestFit="1" customWidth="1"/>
    <col min="770" max="770" width="23.42578125" style="6" customWidth="1"/>
    <col min="771" max="771" width="17.7109375" style="6" customWidth="1"/>
    <col min="772" max="772" width="1.28515625" style="6" customWidth="1"/>
    <col min="773" max="773" width="32.42578125" style="6" customWidth="1"/>
    <col min="774" max="775" width="32.85546875" style="6" customWidth="1"/>
    <col min="776" max="1021" width="11.42578125" style="6"/>
    <col min="1022" max="1022" width="1.140625" style="6" customWidth="1"/>
    <col min="1023" max="1023" width="34.85546875" style="6" customWidth="1"/>
    <col min="1024" max="1024" width="3.85546875" style="6" customWidth="1"/>
    <col min="1025" max="1025" width="11.5703125" style="6" bestFit="1" customWidth="1"/>
    <col min="1026" max="1026" width="23.42578125" style="6" customWidth="1"/>
    <col min="1027" max="1027" width="17.7109375" style="6" customWidth="1"/>
    <col min="1028" max="1028" width="1.28515625" style="6" customWidth="1"/>
    <col min="1029" max="1029" width="32.42578125" style="6" customWidth="1"/>
    <col min="1030" max="1031" width="32.85546875" style="6" customWidth="1"/>
    <col min="1032" max="1277" width="11.42578125" style="6"/>
    <col min="1278" max="1278" width="1.140625" style="6" customWidth="1"/>
    <col min="1279" max="1279" width="34.85546875" style="6" customWidth="1"/>
    <col min="1280" max="1280" width="3.85546875" style="6" customWidth="1"/>
    <col min="1281" max="1281" width="11.5703125" style="6" bestFit="1" customWidth="1"/>
    <col min="1282" max="1282" width="23.42578125" style="6" customWidth="1"/>
    <col min="1283" max="1283" width="17.7109375" style="6" customWidth="1"/>
    <col min="1284" max="1284" width="1.28515625" style="6" customWidth="1"/>
    <col min="1285" max="1285" width="32.42578125" style="6" customWidth="1"/>
    <col min="1286" max="1287" width="32.85546875" style="6" customWidth="1"/>
    <col min="1288" max="1533" width="11.42578125" style="6"/>
    <col min="1534" max="1534" width="1.140625" style="6" customWidth="1"/>
    <col min="1535" max="1535" width="34.85546875" style="6" customWidth="1"/>
    <col min="1536" max="1536" width="3.85546875" style="6" customWidth="1"/>
    <col min="1537" max="1537" width="11.5703125" style="6" bestFit="1" customWidth="1"/>
    <col min="1538" max="1538" width="23.42578125" style="6" customWidth="1"/>
    <col min="1539" max="1539" width="17.7109375" style="6" customWidth="1"/>
    <col min="1540" max="1540" width="1.28515625" style="6" customWidth="1"/>
    <col min="1541" max="1541" width="32.42578125" style="6" customWidth="1"/>
    <col min="1542" max="1543" width="32.85546875" style="6" customWidth="1"/>
    <col min="1544" max="1789" width="11.42578125" style="6"/>
    <col min="1790" max="1790" width="1.140625" style="6" customWidth="1"/>
    <col min="1791" max="1791" width="34.85546875" style="6" customWidth="1"/>
    <col min="1792" max="1792" width="3.85546875" style="6" customWidth="1"/>
    <col min="1793" max="1793" width="11.5703125" style="6" bestFit="1" customWidth="1"/>
    <col min="1794" max="1794" width="23.42578125" style="6" customWidth="1"/>
    <col min="1795" max="1795" width="17.7109375" style="6" customWidth="1"/>
    <col min="1796" max="1796" width="1.28515625" style="6" customWidth="1"/>
    <col min="1797" max="1797" width="32.42578125" style="6" customWidth="1"/>
    <col min="1798" max="1799" width="32.85546875" style="6" customWidth="1"/>
    <col min="1800" max="2045" width="11.42578125" style="6"/>
    <col min="2046" max="2046" width="1.140625" style="6" customWidth="1"/>
    <col min="2047" max="2047" width="34.85546875" style="6" customWidth="1"/>
    <col min="2048" max="2048" width="3.85546875" style="6" customWidth="1"/>
    <col min="2049" max="2049" width="11.5703125" style="6" bestFit="1" customWidth="1"/>
    <col min="2050" max="2050" width="23.42578125" style="6" customWidth="1"/>
    <col min="2051" max="2051" width="17.7109375" style="6" customWidth="1"/>
    <col min="2052" max="2052" width="1.28515625" style="6" customWidth="1"/>
    <col min="2053" max="2053" width="32.42578125" style="6" customWidth="1"/>
    <col min="2054" max="2055" width="32.85546875" style="6" customWidth="1"/>
    <col min="2056" max="2301" width="11.42578125" style="6"/>
    <col min="2302" max="2302" width="1.140625" style="6" customWidth="1"/>
    <col min="2303" max="2303" width="34.85546875" style="6" customWidth="1"/>
    <col min="2304" max="2304" width="3.85546875" style="6" customWidth="1"/>
    <col min="2305" max="2305" width="11.5703125" style="6" bestFit="1" customWidth="1"/>
    <col min="2306" max="2306" width="23.42578125" style="6" customWidth="1"/>
    <col min="2307" max="2307" width="17.7109375" style="6" customWidth="1"/>
    <col min="2308" max="2308" width="1.28515625" style="6" customWidth="1"/>
    <col min="2309" max="2309" width="32.42578125" style="6" customWidth="1"/>
    <col min="2310" max="2311" width="32.85546875" style="6" customWidth="1"/>
    <col min="2312" max="2557" width="11.42578125" style="6"/>
    <col min="2558" max="2558" width="1.140625" style="6" customWidth="1"/>
    <col min="2559" max="2559" width="34.85546875" style="6" customWidth="1"/>
    <col min="2560" max="2560" width="3.85546875" style="6" customWidth="1"/>
    <col min="2561" max="2561" width="11.5703125" style="6" bestFit="1" customWidth="1"/>
    <col min="2562" max="2562" width="23.42578125" style="6" customWidth="1"/>
    <col min="2563" max="2563" width="17.7109375" style="6" customWidth="1"/>
    <col min="2564" max="2564" width="1.28515625" style="6" customWidth="1"/>
    <col min="2565" max="2565" width="32.42578125" style="6" customWidth="1"/>
    <col min="2566" max="2567" width="32.85546875" style="6" customWidth="1"/>
    <col min="2568" max="2813" width="11.42578125" style="6"/>
    <col min="2814" max="2814" width="1.140625" style="6" customWidth="1"/>
    <col min="2815" max="2815" width="34.85546875" style="6" customWidth="1"/>
    <col min="2816" max="2816" width="3.85546875" style="6" customWidth="1"/>
    <col min="2817" max="2817" width="11.5703125" style="6" bestFit="1" customWidth="1"/>
    <col min="2818" max="2818" width="23.42578125" style="6" customWidth="1"/>
    <col min="2819" max="2819" width="17.7109375" style="6" customWidth="1"/>
    <col min="2820" max="2820" width="1.28515625" style="6" customWidth="1"/>
    <col min="2821" max="2821" width="32.42578125" style="6" customWidth="1"/>
    <col min="2822" max="2823" width="32.85546875" style="6" customWidth="1"/>
    <col min="2824" max="3069" width="11.42578125" style="6"/>
    <col min="3070" max="3070" width="1.140625" style="6" customWidth="1"/>
    <col min="3071" max="3071" width="34.85546875" style="6" customWidth="1"/>
    <col min="3072" max="3072" width="3.85546875" style="6" customWidth="1"/>
    <col min="3073" max="3073" width="11.5703125" style="6" bestFit="1" customWidth="1"/>
    <col min="3074" max="3074" width="23.42578125" style="6" customWidth="1"/>
    <col min="3075" max="3075" width="17.7109375" style="6" customWidth="1"/>
    <col min="3076" max="3076" width="1.28515625" style="6" customWidth="1"/>
    <col min="3077" max="3077" width="32.42578125" style="6" customWidth="1"/>
    <col min="3078" max="3079" width="32.85546875" style="6" customWidth="1"/>
    <col min="3080" max="3325" width="11.42578125" style="6"/>
    <col min="3326" max="3326" width="1.140625" style="6" customWidth="1"/>
    <col min="3327" max="3327" width="34.85546875" style="6" customWidth="1"/>
    <col min="3328" max="3328" width="3.85546875" style="6" customWidth="1"/>
    <col min="3329" max="3329" width="11.5703125" style="6" bestFit="1" customWidth="1"/>
    <col min="3330" max="3330" width="23.42578125" style="6" customWidth="1"/>
    <col min="3331" max="3331" width="17.7109375" style="6" customWidth="1"/>
    <col min="3332" max="3332" width="1.28515625" style="6" customWidth="1"/>
    <col min="3333" max="3333" width="32.42578125" style="6" customWidth="1"/>
    <col min="3334" max="3335" width="32.85546875" style="6" customWidth="1"/>
    <col min="3336" max="3581" width="11.42578125" style="6"/>
    <col min="3582" max="3582" width="1.140625" style="6" customWidth="1"/>
    <col min="3583" max="3583" width="34.85546875" style="6" customWidth="1"/>
    <col min="3584" max="3584" width="3.85546875" style="6" customWidth="1"/>
    <col min="3585" max="3585" width="11.5703125" style="6" bestFit="1" customWidth="1"/>
    <col min="3586" max="3586" width="23.42578125" style="6" customWidth="1"/>
    <col min="3587" max="3587" width="17.7109375" style="6" customWidth="1"/>
    <col min="3588" max="3588" width="1.28515625" style="6" customWidth="1"/>
    <col min="3589" max="3589" width="32.42578125" style="6" customWidth="1"/>
    <col min="3590" max="3591" width="32.85546875" style="6" customWidth="1"/>
    <col min="3592" max="3837" width="11.42578125" style="6"/>
    <col min="3838" max="3838" width="1.140625" style="6" customWidth="1"/>
    <col min="3839" max="3839" width="34.85546875" style="6" customWidth="1"/>
    <col min="3840" max="3840" width="3.85546875" style="6" customWidth="1"/>
    <col min="3841" max="3841" width="11.5703125" style="6" bestFit="1" customWidth="1"/>
    <col min="3842" max="3842" width="23.42578125" style="6" customWidth="1"/>
    <col min="3843" max="3843" width="17.7109375" style="6" customWidth="1"/>
    <col min="3844" max="3844" width="1.28515625" style="6" customWidth="1"/>
    <col min="3845" max="3845" width="32.42578125" style="6" customWidth="1"/>
    <col min="3846" max="3847" width="32.85546875" style="6" customWidth="1"/>
    <col min="3848" max="4093" width="11.42578125" style="6"/>
    <col min="4094" max="4094" width="1.140625" style="6" customWidth="1"/>
    <col min="4095" max="4095" width="34.85546875" style="6" customWidth="1"/>
    <col min="4096" max="4096" width="3.85546875" style="6" customWidth="1"/>
    <col min="4097" max="4097" width="11.5703125" style="6" bestFit="1" customWidth="1"/>
    <col min="4098" max="4098" width="23.42578125" style="6" customWidth="1"/>
    <col min="4099" max="4099" width="17.7109375" style="6" customWidth="1"/>
    <col min="4100" max="4100" width="1.28515625" style="6" customWidth="1"/>
    <col min="4101" max="4101" width="32.42578125" style="6" customWidth="1"/>
    <col min="4102" max="4103" width="32.85546875" style="6" customWidth="1"/>
    <col min="4104" max="4349" width="11.42578125" style="6"/>
    <col min="4350" max="4350" width="1.140625" style="6" customWidth="1"/>
    <col min="4351" max="4351" width="34.85546875" style="6" customWidth="1"/>
    <col min="4352" max="4352" width="3.85546875" style="6" customWidth="1"/>
    <col min="4353" max="4353" width="11.5703125" style="6" bestFit="1" customWidth="1"/>
    <col min="4354" max="4354" width="23.42578125" style="6" customWidth="1"/>
    <col min="4355" max="4355" width="17.7109375" style="6" customWidth="1"/>
    <col min="4356" max="4356" width="1.28515625" style="6" customWidth="1"/>
    <col min="4357" max="4357" width="32.42578125" style="6" customWidth="1"/>
    <col min="4358" max="4359" width="32.85546875" style="6" customWidth="1"/>
    <col min="4360" max="4605" width="11.42578125" style="6"/>
    <col min="4606" max="4606" width="1.140625" style="6" customWidth="1"/>
    <col min="4607" max="4607" width="34.85546875" style="6" customWidth="1"/>
    <col min="4608" max="4608" width="3.85546875" style="6" customWidth="1"/>
    <col min="4609" max="4609" width="11.5703125" style="6" bestFit="1" customWidth="1"/>
    <col min="4610" max="4610" width="23.42578125" style="6" customWidth="1"/>
    <col min="4611" max="4611" width="17.7109375" style="6" customWidth="1"/>
    <col min="4612" max="4612" width="1.28515625" style="6" customWidth="1"/>
    <col min="4613" max="4613" width="32.42578125" style="6" customWidth="1"/>
    <col min="4614" max="4615" width="32.85546875" style="6" customWidth="1"/>
    <col min="4616" max="4861" width="11.42578125" style="6"/>
    <col min="4862" max="4862" width="1.140625" style="6" customWidth="1"/>
    <col min="4863" max="4863" width="34.85546875" style="6" customWidth="1"/>
    <col min="4864" max="4864" width="3.85546875" style="6" customWidth="1"/>
    <col min="4865" max="4865" width="11.5703125" style="6" bestFit="1" customWidth="1"/>
    <col min="4866" max="4866" width="23.42578125" style="6" customWidth="1"/>
    <col min="4867" max="4867" width="17.7109375" style="6" customWidth="1"/>
    <col min="4868" max="4868" width="1.28515625" style="6" customWidth="1"/>
    <col min="4869" max="4869" width="32.42578125" style="6" customWidth="1"/>
    <col min="4870" max="4871" width="32.85546875" style="6" customWidth="1"/>
    <col min="4872" max="5117" width="11.42578125" style="6"/>
    <col min="5118" max="5118" width="1.140625" style="6" customWidth="1"/>
    <col min="5119" max="5119" width="34.85546875" style="6" customWidth="1"/>
    <col min="5120" max="5120" width="3.85546875" style="6" customWidth="1"/>
    <col min="5121" max="5121" width="11.5703125" style="6" bestFit="1" customWidth="1"/>
    <col min="5122" max="5122" width="23.42578125" style="6" customWidth="1"/>
    <col min="5123" max="5123" width="17.7109375" style="6" customWidth="1"/>
    <col min="5124" max="5124" width="1.28515625" style="6" customWidth="1"/>
    <col min="5125" max="5125" width="32.42578125" style="6" customWidth="1"/>
    <col min="5126" max="5127" width="32.85546875" style="6" customWidth="1"/>
    <col min="5128" max="5373" width="11.42578125" style="6"/>
    <col min="5374" max="5374" width="1.140625" style="6" customWidth="1"/>
    <col min="5375" max="5375" width="34.85546875" style="6" customWidth="1"/>
    <col min="5376" max="5376" width="3.85546875" style="6" customWidth="1"/>
    <col min="5377" max="5377" width="11.5703125" style="6" bestFit="1" customWidth="1"/>
    <col min="5378" max="5378" width="23.42578125" style="6" customWidth="1"/>
    <col min="5379" max="5379" width="17.7109375" style="6" customWidth="1"/>
    <col min="5380" max="5380" width="1.28515625" style="6" customWidth="1"/>
    <col min="5381" max="5381" width="32.42578125" style="6" customWidth="1"/>
    <col min="5382" max="5383" width="32.85546875" style="6" customWidth="1"/>
    <col min="5384" max="5629" width="11.42578125" style="6"/>
    <col min="5630" max="5630" width="1.140625" style="6" customWidth="1"/>
    <col min="5631" max="5631" width="34.85546875" style="6" customWidth="1"/>
    <col min="5632" max="5632" width="3.85546875" style="6" customWidth="1"/>
    <col min="5633" max="5633" width="11.5703125" style="6" bestFit="1" customWidth="1"/>
    <col min="5634" max="5634" width="23.42578125" style="6" customWidth="1"/>
    <col min="5635" max="5635" width="17.7109375" style="6" customWidth="1"/>
    <col min="5636" max="5636" width="1.28515625" style="6" customWidth="1"/>
    <col min="5637" max="5637" width="32.42578125" style="6" customWidth="1"/>
    <col min="5638" max="5639" width="32.85546875" style="6" customWidth="1"/>
    <col min="5640" max="5885" width="11.42578125" style="6"/>
    <col min="5886" max="5886" width="1.140625" style="6" customWidth="1"/>
    <col min="5887" max="5887" width="34.85546875" style="6" customWidth="1"/>
    <col min="5888" max="5888" width="3.85546875" style="6" customWidth="1"/>
    <col min="5889" max="5889" width="11.5703125" style="6" bestFit="1" customWidth="1"/>
    <col min="5890" max="5890" width="23.42578125" style="6" customWidth="1"/>
    <col min="5891" max="5891" width="17.7109375" style="6" customWidth="1"/>
    <col min="5892" max="5892" width="1.28515625" style="6" customWidth="1"/>
    <col min="5893" max="5893" width="32.42578125" style="6" customWidth="1"/>
    <col min="5894" max="5895" width="32.85546875" style="6" customWidth="1"/>
    <col min="5896" max="6141" width="11.42578125" style="6"/>
    <col min="6142" max="6142" width="1.140625" style="6" customWidth="1"/>
    <col min="6143" max="6143" width="34.85546875" style="6" customWidth="1"/>
    <col min="6144" max="6144" width="3.85546875" style="6" customWidth="1"/>
    <col min="6145" max="6145" width="11.5703125" style="6" bestFit="1" customWidth="1"/>
    <col min="6146" max="6146" width="23.42578125" style="6" customWidth="1"/>
    <col min="6147" max="6147" width="17.7109375" style="6" customWidth="1"/>
    <col min="6148" max="6148" width="1.28515625" style="6" customWidth="1"/>
    <col min="6149" max="6149" width="32.42578125" style="6" customWidth="1"/>
    <col min="6150" max="6151" width="32.85546875" style="6" customWidth="1"/>
    <col min="6152" max="6397" width="11.42578125" style="6"/>
    <col min="6398" max="6398" width="1.140625" style="6" customWidth="1"/>
    <col min="6399" max="6399" width="34.85546875" style="6" customWidth="1"/>
    <col min="6400" max="6400" width="3.85546875" style="6" customWidth="1"/>
    <col min="6401" max="6401" width="11.5703125" style="6" bestFit="1" customWidth="1"/>
    <col min="6402" max="6402" width="23.42578125" style="6" customWidth="1"/>
    <col min="6403" max="6403" width="17.7109375" style="6" customWidth="1"/>
    <col min="6404" max="6404" width="1.28515625" style="6" customWidth="1"/>
    <col min="6405" max="6405" width="32.42578125" style="6" customWidth="1"/>
    <col min="6406" max="6407" width="32.85546875" style="6" customWidth="1"/>
    <col min="6408" max="6653" width="11.42578125" style="6"/>
    <col min="6654" max="6654" width="1.140625" style="6" customWidth="1"/>
    <col min="6655" max="6655" width="34.85546875" style="6" customWidth="1"/>
    <col min="6656" max="6656" width="3.85546875" style="6" customWidth="1"/>
    <col min="6657" max="6657" width="11.5703125" style="6" bestFit="1" customWidth="1"/>
    <col min="6658" max="6658" width="23.42578125" style="6" customWidth="1"/>
    <col min="6659" max="6659" width="17.7109375" style="6" customWidth="1"/>
    <col min="6660" max="6660" width="1.28515625" style="6" customWidth="1"/>
    <col min="6661" max="6661" width="32.42578125" style="6" customWidth="1"/>
    <col min="6662" max="6663" width="32.85546875" style="6" customWidth="1"/>
    <col min="6664" max="6909" width="11.42578125" style="6"/>
    <col min="6910" max="6910" width="1.140625" style="6" customWidth="1"/>
    <col min="6911" max="6911" width="34.85546875" style="6" customWidth="1"/>
    <col min="6912" max="6912" width="3.85546875" style="6" customWidth="1"/>
    <col min="6913" max="6913" width="11.5703125" style="6" bestFit="1" customWidth="1"/>
    <col min="6914" max="6914" width="23.42578125" style="6" customWidth="1"/>
    <col min="6915" max="6915" width="17.7109375" style="6" customWidth="1"/>
    <col min="6916" max="6916" width="1.28515625" style="6" customWidth="1"/>
    <col min="6917" max="6917" width="32.42578125" style="6" customWidth="1"/>
    <col min="6918" max="6919" width="32.85546875" style="6" customWidth="1"/>
    <col min="6920" max="7165" width="11.42578125" style="6"/>
    <col min="7166" max="7166" width="1.140625" style="6" customWidth="1"/>
    <col min="7167" max="7167" width="34.85546875" style="6" customWidth="1"/>
    <col min="7168" max="7168" width="3.85546875" style="6" customWidth="1"/>
    <col min="7169" max="7169" width="11.5703125" style="6" bestFit="1" customWidth="1"/>
    <col min="7170" max="7170" width="23.42578125" style="6" customWidth="1"/>
    <col min="7171" max="7171" width="17.7109375" style="6" customWidth="1"/>
    <col min="7172" max="7172" width="1.28515625" style="6" customWidth="1"/>
    <col min="7173" max="7173" width="32.42578125" style="6" customWidth="1"/>
    <col min="7174" max="7175" width="32.85546875" style="6" customWidth="1"/>
    <col min="7176" max="7421" width="11.42578125" style="6"/>
    <col min="7422" max="7422" width="1.140625" style="6" customWidth="1"/>
    <col min="7423" max="7423" width="34.85546875" style="6" customWidth="1"/>
    <col min="7424" max="7424" width="3.85546875" style="6" customWidth="1"/>
    <col min="7425" max="7425" width="11.5703125" style="6" bestFit="1" customWidth="1"/>
    <col min="7426" max="7426" width="23.42578125" style="6" customWidth="1"/>
    <col min="7427" max="7427" width="17.7109375" style="6" customWidth="1"/>
    <col min="7428" max="7428" width="1.28515625" style="6" customWidth="1"/>
    <col min="7429" max="7429" width="32.42578125" style="6" customWidth="1"/>
    <col min="7430" max="7431" width="32.85546875" style="6" customWidth="1"/>
    <col min="7432" max="7677" width="11.42578125" style="6"/>
    <col min="7678" max="7678" width="1.140625" style="6" customWidth="1"/>
    <col min="7679" max="7679" width="34.85546875" style="6" customWidth="1"/>
    <col min="7680" max="7680" width="3.85546875" style="6" customWidth="1"/>
    <col min="7681" max="7681" width="11.5703125" style="6" bestFit="1" customWidth="1"/>
    <col min="7682" max="7682" width="23.42578125" style="6" customWidth="1"/>
    <col min="7683" max="7683" width="17.7109375" style="6" customWidth="1"/>
    <col min="7684" max="7684" width="1.28515625" style="6" customWidth="1"/>
    <col min="7685" max="7685" width="32.42578125" style="6" customWidth="1"/>
    <col min="7686" max="7687" width="32.85546875" style="6" customWidth="1"/>
    <col min="7688" max="7933" width="11.42578125" style="6"/>
    <col min="7934" max="7934" width="1.140625" style="6" customWidth="1"/>
    <col min="7935" max="7935" width="34.85546875" style="6" customWidth="1"/>
    <col min="7936" max="7936" width="3.85546875" style="6" customWidth="1"/>
    <col min="7937" max="7937" width="11.5703125" style="6" bestFit="1" customWidth="1"/>
    <col min="7938" max="7938" width="23.42578125" style="6" customWidth="1"/>
    <col min="7939" max="7939" width="17.7109375" style="6" customWidth="1"/>
    <col min="7940" max="7940" width="1.28515625" style="6" customWidth="1"/>
    <col min="7941" max="7941" width="32.42578125" style="6" customWidth="1"/>
    <col min="7942" max="7943" width="32.85546875" style="6" customWidth="1"/>
    <col min="7944" max="8189" width="11.42578125" style="6"/>
    <col min="8190" max="8190" width="1.140625" style="6" customWidth="1"/>
    <col min="8191" max="8191" width="34.85546875" style="6" customWidth="1"/>
    <col min="8192" max="8192" width="3.85546875" style="6" customWidth="1"/>
    <col min="8193" max="8193" width="11.5703125" style="6" bestFit="1" customWidth="1"/>
    <col min="8194" max="8194" width="23.42578125" style="6" customWidth="1"/>
    <col min="8195" max="8195" width="17.7109375" style="6" customWidth="1"/>
    <col min="8196" max="8196" width="1.28515625" style="6" customWidth="1"/>
    <col min="8197" max="8197" width="32.42578125" style="6" customWidth="1"/>
    <col min="8198" max="8199" width="32.85546875" style="6" customWidth="1"/>
    <col min="8200" max="8445" width="11.42578125" style="6"/>
    <col min="8446" max="8446" width="1.140625" style="6" customWidth="1"/>
    <col min="8447" max="8447" width="34.85546875" style="6" customWidth="1"/>
    <col min="8448" max="8448" width="3.85546875" style="6" customWidth="1"/>
    <col min="8449" max="8449" width="11.5703125" style="6" bestFit="1" customWidth="1"/>
    <col min="8450" max="8450" width="23.42578125" style="6" customWidth="1"/>
    <col min="8451" max="8451" width="17.7109375" style="6" customWidth="1"/>
    <col min="8452" max="8452" width="1.28515625" style="6" customWidth="1"/>
    <col min="8453" max="8453" width="32.42578125" style="6" customWidth="1"/>
    <col min="8454" max="8455" width="32.85546875" style="6" customWidth="1"/>
    <col min="8456" max="8701" width="11.42578125" style="6"/>
    <col min="8702" max="8702" width="1.140625" style="6" customWidth="1"/>
    <col min="8703" max="8703" width="34.85546875" style="6" customWidth="1"/>
    <col min="8704" max="8704" width="3.85546875" style="6" customWidth="1"/>
    <col min="8705" max="8705" width="11.5703125" style="6" bestFit="1" customWidth="1"/>
    <col min="8706" max="8706" width="23.42578125" style="6" customWidth="1"/>
    <col min="8707" max="8707" width="17.7109375" style="6" customWidth="1"/>
    <col min="8708" max="8708" width="1.28515625" style="6" customWidth="1"/>
    <col min="8709" max="8709" width="32.42578125" style="6" customWidth="1"/>
    <col min="8710" max="8711" width="32.85546875" style="6" customWidth="1"/>
    <col min="8712" max="8957" width="11.42578125" style="6"/>
    <col min="8958" max="8958" width="1.140625" style="6" customWidth="1"/>
    <col min="8959" max="8959" width="34.85546875" style="6" customWidth="1"/>
    <col min="8960" max="8960" width="3.85546875" style="6" customWidth="1"/>
    <col min="8961" max="8961" width="11.5703125" style="6" bestFit="1" customWidth="1"/>
    <col min="8962" max="8962" width="23.42578125" style="6" customWidth="1"/>
    <col min="8963" max="8963" width="17.7109375" style="6" customWidth="1"/>
    <col min="8964" max="8964" width="1.28515625" style="6" customWidth="1"/>
    <col min="8965" max="8965" width="32.42578125" style="6" customWidth="1"/>
    <col min="8966" max="8967" width="32.85546875" style="6" customWidth="1"/>
    <col min="8968" max="9213" width="11.42578125" style="6"/>
    <col min="9214" max="9214" width="1.140625" style="6" customWidth="1"/>
    <col min="9215" max="9215" width="34.85546875" style="6" customWidth="1"/>
    <col min="9216" max="9216" width="3.85546875" style="6" customWidth="1"/>
    <col min="9217" max="9217" width="11.5703125" style="6" bestFit="1" customWidth="1"/>
    <col min="9218" max="9218" width="23.42578125" style="6" customWidth="1"/>
    <col min="9219" max="9219" width="17.7109375" style="6" customWidth="1"/>
    <col min="9220" max="9220" width="1.28515625" style="6" customWidth="1"/>
    <col min="9221" max="9221" width="32.42578125" style="6" customWidth="1"/>
    <col min="9222" max="9223" width="32.85546875" style="6" customWidth="1"/>
    <col min="9224" max="9469" width="11.42578125" style="6"/>
    <col min="9470" max="9470" width="1.140625" style="6" customWidth="1"/>
    <col min="9471" max="9471" width="34.85546875" style="6" customWidth="1"/>
    <col min="9472" max="9472" width="3.85546875" style="6" customWidth="1"/>
    <col min="9473" max="9473" width="11.5703125" style="6" bestFit="1" customWidth="1"/>
    <col min="9474" max="9474" width="23.42578125" style="6" customWidth="1"/>
    <col min="9475" max="9475" width="17.7109375" style="6" customWidth="1"/>
    <col min="9476" max="9476" width="1.28515625" style="6" customWidth="1"/>
    <col min="9477" max="9477" width="32.42578125" style="6" customWidth="1"/>
    <col min="9478" max="9479" width="32.85546875" style="6" customWidth="1"/>
    <col min="9480" max="9725" width="11.42578125" style="6"/>
    <col min="9726" max="9726" width="1.140625" style="6" customWidth="1"/>
    <col min="9727" max="9727" width="34.85546875" style="6" customWidth="1"/>
    <col min="9728" max="9728" width="3.85546875" style="6" customWidth="1"/>
    <col min="9729" max="9729" width="11.5703125" style="6" bestFit="1" customWidth="1"/>
    <col min="9730" max="9730" width="23.42578125" style="6" customWidth="1"/>
    <col min="9731" max="9731" width="17.7109375" style="6" customWidth="1"/>
    <col min="9732" max="9732" width="1.28515625" style="6" customWidth="1"/>
    <col min="9733" max="9733" width="32.42578125" style="6" customWidth="1"/>
    <col min="9734" max="9735" width="32.85546875" style="6" customWidth="1"/>
    <col min="9736" max="9981" width="11.42578125" style="6"/>
    <col min="9982" max="9982" width="1.140625" style="6" customWidth="1"/>
    <col min="9983" max="9983" width="34.85546875" style="6" customWidth="1"/>
    <col min="9984" max="9984" width="3.85546875" style="6" customWidth="1"/>
    <col min="9985" max="9985" width="11.5703125" style="6" bestFit="1" customWidth="1"/>
    <col min="9986" max="9986" width="23.42578125" style="6" customWidth="1"/>
    <col min="9987" max="9987" width="17.7109375" style="6" customWidth="1"/>
    <col min="9988" max="9988" width="1.28515625" style="6" customWidth="1"/>
    <col min="9989" max="9989" width="32.42578125" style="6" customWidth="1"/>
    <col min="9990" max="9991" width="32.85546875" style="6" customWidth="1"/>
    <col min="9992" max="10237" width="11.42578125" style="6"/>
    <col min="10238" max="10238" width="1.140625" style="6" customWidth="1"/>
    <col min="10239" max="10239" width="34.85546875" style="6" customWidth="1"/>
    <col min="10240" max="10240" width="3.85546875" style="6" customWidth="1"/>
    <col min="10241" max="10241" width="11.5703125" style="6" bestFit="1" customWidth="1"/>
    <col min="10242" max="10242" width="23.42578125" style="6" customWidth="1"/>
    <col min="10243" max="10243" width="17.7109375" style="6" customWidth="1"/>
    <col min="10244" max="10244" width="1.28515625" style="6" customWidth="1"/>
    <col min="10245" max="10245" width="32.42578125" style="6" customWidth="1"/>
    <col min="10246" max="10247" width="32.85546875" style="6" customWidth="1"/>
    <col min="10248" max="10493" width="11.42578125" style="6"/>
    <col min="10494" max="10494" width="1.140625" style="6" customWidth="1"/>
    <col min="10495" max="10495" width="34.85546875" style="6" customWidth="1"/>
    <col min="10496" max="10496" width="3.85546875" style="6" customWidth="1"/>
    <col min="10497" max="10497" width="11.5703125" style="6" bestFit="1" customWidth="1"/>
    <col min="10498" max="10498" width="23.42578125" style="6" customWidth="1"/>
    <col min="10499" max="10499" width="17.7109375" style="6" customWidth="1"/>
    <col min="10500" max="10500" width="1.28515625" style="6" customWidth="1"/>
    <col min="10501" max="10501" width="32.42578125" style="6" customWidth="1"/>
    <col min="10502" max="10503" width="32.85546875" style="6" customWidth="1"/>
    <col min="10504" max="10749" width="11.42578125" style="6"/>
    <col min="10750" max="10750" width="1.140625" style="6" customWidth="1"/>
    <col min="10751" max="10751" width="34.85546875" style="6" customWidth="1"/>
    <col min="10752" max="10752" width="3.85546875" style="6" customWidth="1"/>
    <col min="10753" max="10753" width="11.5703125" style="6" bestFit="1" customWidth="1"/>
    <col min="10754" max="10754" width="23.42578125" style="6" customWidth="1"/>
    <col min="10755" max="10755" width="17.7109375" style="6" customWidth="1"/>
    <col min="10756" max="10756" width="1.28515625" style="6" customWidth="1"/>
    <col min="10757" max="10757" width="32.42578125" style="6" customWidth="1"/>
    <col min="10758" max="10759" width="32.85546875" style="6" customWidth="1"/>
    <col min="10760" max="11005" width="11.42578125" style="6"/>
    <col min="11006" max="11006" width="1.140625" style="6" customWidth="1"/>
    <col min="11007" max="11007" width="34.85546875" style="6" customWidth="1"/>
    <col min="11008" max="11008" width="3.85546875" style="6" customWidth="1"/>
    <col min="11009" max="11009" width="11.5703125" style="6" bestFit="1" customWidth="1"/>
    <col min="11010" max="11010" width="23.42578125" style="6" customWidth="1"/>
    <col min="11011" max="11011" width="17.7109375" style="6" customWidth="1"/>
    <col min="11012" max="11012" width="1.28515625" style="6" customWidth="1"/>
    <col min="11013" max="11013" width="32.42578125" style="6" customWidth="1"/>
    <col min="11014" max="11015" width="32.85546875" style="6" customWidth="1"/>
    <col min="11016" max="11261" width="11.42578125" style="6"/>
    <col min="11262" max="11262" width="1.140625" style="6" customWidth="1"/>
    <col min="11263" max="11263" width="34.85546875" style="6" customWidth="1"/>
    <col min="11264" max="11264" width="3.85546875" style="6" customWidth="1"/>
    <col min="11265" max="11265" width="11.5703125" style="6" bestFit="1" customWidth="1"/>
    <col min="11266" max="11266" width="23.42578125" style="6" customWidth="1"/>
    <col min="11267" max="11267" width="17.7109375" style="6" customWidth="1"/>
    <col min="11268" max="11268" width="1.28515625" style="6" customWidth="1"/>
    <col min="11269" max="11269" width="32.42578125" style="6" customWidth="1"/>
    <col min="11270" max="11271" width="32.85546875" style="6" customWidth="1"/>
    <col min="11272" max="11517" width="11.42578125" style="6"/>
    <col min="11518" max="11518" width="1.140625" style="6" customWidth="1"/>
    <col min="11519" max="11519" width="34.85546875" style="6" customWidth="1"/>
    <col min="11520" max="11520" width="3.85546875" style="6" customWidth="1"/>
    <col min="11521" max="11521" width="11.5703125" style="6" bestFit="1" customWidth="1"/>
    <col min="11522" max="11522" width="23.42578125" style="6" customWidth="1"/>
    <col min="11523" max="11523" width="17.7109375" style="6" customWidth="1"/>
    <col min="11524" max="11524" width="1.28515625" style="6" customWidth="1"/>
    <col min="11525" max="11525" width="32.42578125" style="6" customWidth="1"/>
    <col min="11526" max="11527" width="32.85546875" style="6" customWidth="1"/>
    <col min="11528" max="11773" width="11.42578125" style="6"/>
    <col min="11774" max="11774" width="1.140625" style="6" customWidth="1"/>
    <col min="11775" max="11775" width="34.85546875" style="6" customWidth="1"/>
    <col min="11776" max="11776" width="3.85546875" style="6" customWidth="1"/>
    <col min="11777" max="11777" width="11.5703125" style="6" bestFit="1" customWidth="1"/>
    <col min="11778" max="11778" width="23.42578125" style="6" customWidth="1"/>
    <col min="11779" max="11779" width="17.7109375" style="6" customWidth="1"/>
    <col min="11780" max="11780" width="1.28515625" style="6" customWidth="1"/>
    <col min="11781" max="11781" width="32.42578125" style="6" customWidth="1"/>
    <col min="11782" max="11783" width="32.85546875" style="6" customWidth="1"/>
    <col min="11784" max="12029" width="11.42578125" style="6"/>
    <col min="12030" max="12030" width="1.140625" style="6" customWidth="1"/>
    <col min="12031" max="12031" width="34.85546875" style="6" customWidth="1"/>
    <col min="12032" max="12032" width="3.85546875" style="6" customWidth="1"/>
    <col min="12033" max="12033" width="11.5703125" style="6" bestFit="1" customWidth="1"/>
    <col min="12034" max="12034" width="23.42578125" style="6" customWidth="1"/>
    <col min="12035" max="12035" width="17.7109375" style="6" customWidth="1"/>
    <col min="12036" max="12036" width="1.28515625" style="6" customWidth="1"/>
    <col min="12037" max="12037" width="32.42578125" style="6" customWidth="1"/>
    <col min="12038" max="12039" width="32.85546875" style="6" customWidth="1"/>
    <col min="12040" max="12285" width="11.42578125" style="6"/>
    <col min="12286" max="12286" width="1.140625" style="6" customWidth="1"/>
    <col min="12287" max="12287" width="34.85546875" style="6" customWidth="1"/>
    <col min="12288" max="12288" width="3.85546875" style="6" customWidth="1"/>
    <col min="12289" max="12289" width="11.5703125" style="6" bestFit="1" customWidth="1"/>
    <col min="12290" max="12290" width="23.42578125" style="6" customWidth="1"/>
    <col min="12291" max="12291" width="17.7109375" style="6" customWidth="1"/>
    <col min="12292" max="12292" width="1.28515625" style="6" customWidth="1"/>
    <col min="12293" max="12293" width="32.42578125" style="6" customWidth="1"/>
    <col min="12294" max="12295" width="32.85546875" style="6" customWidth="1"/>
    <col min="12296" max="12541" width="11.42578125" style="6"/>
    <col min="12542" max="12542" width="1.140625" style="6" customWidth="1"/>
    <col min="12543" max="12543" width="34.85546875" style="6" customWidth="1"/>
    <col min="12544" max="12544" width="3.85546875" style="6" customWidth="1"/>
    <col min="12545" max="12545" width="11.5703125" style="6" bestFit="1" customWidth="1"/>
    <col min="12546" max="12546" width="23.42578125" style="6" customWidth="1"/>
    <col min="12547" max="12547" width="17.7109375" style="6" customWidth="1"/>
    <col min="12548" max="12548" width="1.28515625" style="6" customWidth="1"/>
    <col min="12549" max="12549" width="32.42578125" style="6" customWidth="1"/>
    <col min="12550" max="12551" width="32.85546875" style="6" customWidth="1"/>
    <col min="12552" max="12797" width="11.42578125" style="6"/>
    <col min="12798" max="12798" width="1.140625" style="6" customWidth="1"/>
    <col min="12799" max="12799" width="34.85546875" style="6" customWidth="1"/>
    <col min="12800" max="12800" width="3.85546875" style="6" customWidth="1"/>
    <col min="12801" max="12801" width="11.5703125" style="6" bestFit="1" customWidth="1"/>
    <col min="12802" max="12802" width="23.42578125" style="6" customWidth="1"/>
    <col min="12803" max="12803" width="17.7109375" style="6" customWidth="1"/>
    <col min="12804" max="12804" width="1.28515625" style="6" customWidth="1"/>
    <col min="12805" max="12805" width="32.42578125" style="6" customWidth="1"/>
    <col min="12806" max="12807" width="32.85546875" style="6" customWidth="1"/>
    <col min="12808" max="13053" width="11.42578125" style="6"/>
    <col min="13054" max="13054" width="1.140625" style="6" customWidth="1"/>
    <col min="13055" max="13055" width="34.85546875" style="6" customWidth="1"/>
    <col min="13056" max="13056" width="3.85546875" style="6" customWidth="1"/>
    <col min="13057" max="13057" width="11.5703125" style="6" bestFit="1" customWidth="1"/>
    <col min="13058" max="13058" width="23.42578125" style="6" customWidth="1"/>
    <col min="13059" max="13059" width="17.7109375" style="6" customWidth="1"/>
    <col min="13060" max="13060" width="1.28515625" style="6" customWidth="1"/>
    <col min="13061" max="13061" width="32.42578125" style="6" customWidth="1"/>
    <col min="13062" max="13063" width="32.85546875" style="6" customWidth="1"/>
    <col min="13064" max="13309" width="11.42578125" style="6"/>
    <col min="13310" max="13310" width="1.140625" style="6" customWidth="1"/>
    <col min="13311" max="13311" width="34.85546875" style="6" customWidth="1"/>
    <col min="13312" max="13312" width="3.85546875" style="6" customWidth="1"/>
    <col min="13313" max="13313" width="11.5703125" style="6" bestFit="1" customWidth="1"/>
    <col min="13314" max="13314" width="23.42578125" style="6" customWidth="1"/>
    <col min="13315" max="13315" width="17.7109375" style="6" customWidth="1"/>
    <col min="13316" max="13316" width="1.28515625" style="6" customWidth="1"/>
    <col min="13317" max="13317" width="32.42578125" style="6" customWidth="1"/>
    <col min="13318" max="13319" width="32.85546875" style="6" customWidth="1"/>
    <col min="13320" max="13565" width="11.42578125" style="6"/>
    <col min="13566" max="13566" width="1.140625" style="6" customWidth="1"/>
    <col min="13567" max="13567" width="34.85546875" style="6" customWidth="1"/>
    <col min="13568" max="13568" width="3.85546875" style="6" customWidth="1"/>
    <col min="13569" max="13569" width="11.5703125" style="6" bestFit="1" customWidth="1"/>
    <col min="13570" max="13570" width="23.42578125" style="6" customWidth="1"/>
    <col min="13571" max="13571" width="17.7109375" style="6" customWidth="1"/>
    <col min="13572" max="13572" width="1.28515625" style="6" customWidth="1"/>
    <col min="13573" max="13573" width="32.42578125" style="6" customWidth="1"/>
    <col min="13574" max="13575" width="32.85546875" style="6" customWidth="1"/>
    <col min="13576" max="13821" width="11.42578125" style="6"/>
    <col min="13822" max="13822" width="1.140625" style="6" customWidth="1"/>
    <col min="13823" max="13823" width="34.85546875" style="6" customWidth="1"/>
    <col min="13824" max="13824" width="3.85546875" style="6" customWidth="1"/>
    <col min="13825" max="13825" width="11.5703125" style="6" bestFit="1" customWidth="1"/>
    <col min="13826" max="13826" width="23.42578125" style="6" customWidth="1"/>
    <col min="13827" max="13827" width="17.7109375" style="6" customWidth="1"/>
    <col min="13828" max="13828" width="1.28515625" style="6" customWidth="1"/>
    <col min="13829" max="13829" width="32.42578125" style="6" customWidth="1"/>
    <col min="13830" max="13831" width="32.85546875" style="6" customWidth="1"/>
    <col min="13832" max="14077" width="11.42578125" style="6"/>
    <col min="14078" max="14078" width="1.140625" style="6" customWidth="1"/>
    <col min="14079" max="14079" width="34.85546875" style="6" customWidth="1"/>
    <col min="14080" max="14080" width="3.85546875" style="6" customWidth="1"/>
    <col min="14081" max="14081" width="11.5703125" style="6" bestFit="1" customWidth="1"/>
    <col min="14082" max="14082" width="23.42578125" style="6" customWidth="1"/>
    <col min="14083" max="14083" width="17.7109375" style="6" customWidth="1"/>
    <col min="14084" max="14084" width="1.28515625" style="6" customWidth="1"/>
    <col min="14085" max="14085" width="32.42578125" style="6" customWidth="1"/>
    <col min="14086" max="14087" width="32.85546875" style="6" customWidth="1"/>
    <col min="14088" max="14333" width="11.42578125" style="6"/>
    <col min="14334" max="14334" width="1.140625" style="6" customWidth="1"/>
    <col min="14335" max="14335" width="34.85546875" style="6" customWidth="1"/>
    <col min="14336" max="14336" width="3.85546875" style="6" customWidth="1"/>
    <col min="14337" max="14337" width="11.5703125" style="6" bestFit="1" customWidth="1"/>
    <col min="14338" max="14338" width="23.42578125" style="6" customWidth="1"/>
    <col min="14339" max="14339" width="17.7109375" style="6" customWidth="1"/>
    <col min="14340" max="14340" width="1.28515625" style="6" customWidth="1"/>
    <col min="14341" max="14341" width="32.42578125" style="6" customWidth="1"/>
    <col min="14342" max="14343" width="32.85546875" style="6" customWidth="1"/>
    <col min="14344" max="14589" width="11.42578125" style="6"/>
    <col min="14590" max="14590" width="1.140625" style="6" customWidth="1"/>
    <col min="14591" max="14591" width="34.85546875" style="6" customWidth="1"/>
    <col min="14592" max="14592" width="3.85546875" style="6" customWidth="1"/>
    <col min="14593" max="14593" width="11.5703125" style="6" bestFit="1" customWidth="1"/>
    <col min="14594" max="14594" width="23.42578125" style="6" customWidth="1"/>
    <col min="14595" max="14595" width="17.7109375" style="6" customWidth="1"/>
    <col min="14596" max="14596" width="1.28515625" style="6" customWidth="1"/>
    <col min="14597" max="14597" width="32.42578125" style="6" customWidth="1"/>
    <col min="14598" max="14599" width="32.85546875" style="6" customWidth="1"/>
    <col min="14600" max="14845" width="11.42578125" style="6"/>
    <col min="14846" max="14846" width="1.140625" style="6" customWidth="1"/>
    <col min="14847" max="14847" width="34.85546875" style="6" customWidth="1"/>
    <col min="14848" max="14848" width="3.85546875" style="6" customWidth="1"/>
    <col min="14849" max="14849" width="11.5703125" style="6" bestFit="1" customWidth="1"/>
    <col min="14850" max="14850" width="23.42578125" style="6" customWidth="1"/>
    <col min="14851" max="14851" width="17.7109375" style="6" customWidth="1"/>
    <col min="14852" max="14852" width="1.28515625" style="6" customWidth="1"/>
    <col min="14853" max="14853" width="32.42578125" style="6" customWidth="1"/>
    <col min="14854" max="14855" width="32.85546875" style="6" customWidth="1"/>
    <col min="14856" max="15101" width="11.42578125" style="6"/>
    <col min="15102" max="15102" width="1.140625" style="6" customWidth="1"/>
    <col min="15103" max="15103" width="34.85546875" style="6" customWidth="1"/>
    <col min="15104" max="15104" width="3.85546875" style="6" customWidth="1"/>
    <col min="15105" max="15105" width="11.5703125" style="6" bestFit="1" customWidth="1"/>
    <col min="15106" max="15106" width="23.42578125" style="6" customWidth="1"/>
    <col min="15107" max="15107" width="17.7109375" style="6" customWidth="1"/>
    <col min="15108" max="15108" width="1.28515625" style="6" customWidth="1"/>
    <col min="15109" max="15109" width="32.42578125" style="6" customWidth="1"/>
    <col min="15110" max="15111" width="32.85546875" style="6" customWidth="1"/>
    <col min="15112" max="15357" width="11.42578125" style="6"/>
    <col min="15358" max="15358" width="1.140625" style="6" customWidth="1"/>
    <col min="15359" max="15359" width="34.85546875" style="6" customWidth="1"/>
    <col min="15360" max="15360" width="3.85546875" style="6" customWidth="1"/>
    <col min="15361" max="15361" width="11.5703125" style="6" bestFit="1" customWidth="1"/>
    <col min="15362" max="15362" width="23.42578125" style="6" customWidth="1"/>
    <col min="15363" max="15363" width="17.7109375" style="6" customWidth="1"/>
    <col min="15364" max="15364" width="1.28515625" style="6" customWidth="1"/>
    <col min="15365" max="15365" width="32.42578125" style="6" customWidth="1"/>
    <col min="15366" max="15367" width="32.85546875" style="6" customWidth="1"/>
    <col min="15368" max="15613" width="11.42578125" style="6"/>
    <col min="15614" max="15614" width="1.140625" style="6" customWidth="1"/>
    <col min="15615" max="15615" width="34.85546875" style="6" customWidth="1"/>
    <col min="15616" max="15616" width="3.85546875" style="6" customWidth="1"/>
    <col min="15617" max="15617" width="11.5703125" style="6" bestFit="1" customWidth="1"/>
    <col min="15618" max="15618" width="23.42578125" style="6" customWidth="1"/>
    <col min="15619" max="15619" width="17.7109375" style="6" customWidth="1"/>
    <col min="15620" max="15620" width="1.28515625" style="6" customWidth="1"/>
    <col min="15621" max="15621" width="32.42578125" style="6" customWidth="1"/>
    <col min="15622" max="15623" width="32.85546875" style="6" customWidth="1"/>
    <col min="15624" max="15869" width="11.42578125" style="6"/>
    <col min="15870" max="15870" width="1.140625" style="6" customWidth="1"/>
    <col min="15871" max="15871" width="34.85546875" style="6" customWidth="1"/>
    <col min="15872" max="15872" width="3.85546875" style="6" customWidth="1"/>
    <col min="15873" max="15873" width="11.5703125" style="6" bestFit="1" customWidth="1"/>
    <col min="15874" max="15874" width="23.42578125" style="6" customWidth="1"/>
    <col min="15875" max="15875" width="17.7109375" style="6" customWidth="1"/>
    <col min="15876" max="15876" width="1.28515625" style="6" customWidth="1"/>
    <col min="15877" max="15877" width="32.42578125" style="6" customWidth="1"/>
    <col min="15878" max="15879" width="32.85546875" style="6" customWidth="1"/>
    <col min="15880" max="16125" width="11.42578125" style="6"/>
    <col min="16126" max="16126" width="1.140625" style="6" customWidth="1"/>
    <col min="16127" max="16127" width="34.85546875" style="6" customWidth="1"/>
    <col min="16128" max="16128" width="3.85546875" style="6" customWidth="1"/>
    <col min="16129" max="16129" width="11.5703125" style="6" bestFit="1" customWidth="1"/>
    <col min="16130" max="16130" width="23.42578125" style="6" customWidth="1"/>
    <col min="16131" max="16131" width="17.7109375" style="6" customWidth="1"/>
    <col min="16132" max="16132" width="1.28515625" style="6" customWidth="1"/>
    <col min="16133" max="16133" width="32.42578125" style="6" customWidth="1"/>
    <col min="16134" max="16135" width="32.85546875" style="6" customWidth="1"/>
    <col min="16136" max="16384" width="11.42578125" style="6"/>
  </cols>
  <sheetData>
    <row r="1" spans="1:8" s="2" customFormat="1" ht="30">
      <c r="A1" s="3" t="s">
        <v>98</v>
      </c>
    </row>
    <row r="2" spans="1:8" s="2" customFormat="1" ht="20.25">
      <c r="A2" s="30" t="s">
        <v>99</v>
      </c>
      <c r="B2" s="30"/>
      <c r="C2" s="30"/>
      <c r="D2" s="30"/>
      <c r="E2" s="30"/>
      <c r="F2" s="30"/>
      <c r="G2" s="30"/>
      <c r="H2" s="30"/>
    </row>
    <row r="3" spans="1:8" s="4" customFormat="1" ht="20.25">
      <c r="A3" s="31" t="s">
        <v>101</v>
      </c>
      <c r="B3" s="30"/>
      <c r="C3" s="30"/>
      <c r="D3" s="30"/>
      <c r="E3" s="30"/>
      <c r="F3" s="30"/>
      <c r="G3" s="30"/>
      <c r="H3" s="30"/>
    </row>
    <row r="4" spans="1:8" s="4" customFormat="1" ht="20.25">
      <c r="A4" s="30" t="s">
        <v>100</v>
      </c>
      <c r="B4" s="30"/>
      <c r="C4" s="30"/>
      <c r="D4" s="30"/>
      <c r="E4" s="30"/>
      <c r="F4" s="30"/>
      <c r="G4" s="30"/>
      <c r="H4" s="30"/>
    </row>
    <row r="5" spans="1:8" s="5" customFormat="1" ht="20.25">
      <c r="A5" s="30"/>
      <c r="B5" s="30"/>
      <c r="C5" s="30"/>
      <c r="D5" s="30"/>
      <c r="E5" s="30"/>
      <c r="F5" s="30"/>
      <c r="G5" s="30"/>
      <c r="H5" s="30"/>
    </row>
    <row r="6" spans="1:8" s="5" customFormat="1" ht="20.25">
      <c r="A6" s="32"/>
      <c r="B6" s="33"/>
      <c r="C6" s="33"/>
      <c r="D6" s="33"/>
      <c r="E6" s="30"/>
      <c r="F6" s="30"/>
      <c r="G6" s="30"/>
      <c r="H6" s="30"/>
    </row>
    <row r="7" spans="1:8" ht="20.25">
      <c r="A7" s="32" t="s">
        <v>1</v>
      </c>
      <c r="B7" s="33"/>
      <c r="C7" s="34"/>
      <c r="D7" s="35"/>
      <c r="E7" s="30"/>
      <c r="F7" s="30"/>
      <c r="G7" s="30"/>
      <c r="H7" s="30"/>
    </row>
    <row r="8" spans="1:8" ht="20.25">
      <c r="A8" s="33" t="s">
        <v>102</v>
      </c>
      <c r="B8" s="33">
        <v>2</v>
      </c>
      <c r="C8" s="36">
        <v>1000</v>
      </c>
      <c r="D8" s="37">
        <f>SUM(B8*C8)</f>
        <v>2000</v>
      </c>
      <c r="E8" s="30"/>
      <c r="F8" s="30"/>
      <c r="G8" s="30"/>
      <c r="H8" s="30"/>
    </row>
    <row r="9" spans="1:8" ht="20.25">
      <c r="A9" s="33" t="s">
        <v>103</v>
      </c>
      <c r="B9" s="33">
        <v>1</v>
      </c>
      <c r="C9" s="36">
        <v>1500</v>
      </c>
      <c r="D9" s="37">
        <f>SUM(B9*C9)</f>
        <v>1500</v>
      </c>
      <c r="E9" s="30"/>
      <c r="F9" s="30"/>
      <c r="G9" s="30"/>
      <c r="H9" s="30"/>
    </row>
    <row r="10" spans="1:8" ht="20.25">
      <c r="A10" s="33" t="s">
        <v>104</v>
      </c>
      <c r="B10" s="33">
        <v>1</v>
      </c>
      <c r="C10" s="36">
        <v>5000</v>
      </c>
      <c r="D10" s="37">
        <f>SUM(B10*C10)</f>
        <v>5000</v>
      </c>
      <c r="E10" s="30"/>
      <c r="F10" s="30"/>
      <c r="G10" s="30"/>
      <c r="H10" s="30"/>
    </row>
    <row r="11" spans="1:8" ht="20.25">
      <c r="A11" s="33" t="s">
        <v>105</v>
      </c>
      <c r="B11" s="33">
        <v>10</v>
      </c>
      <c r="C11" s="36">
        <v>1000</v>
      </c>
      <c r="D11" s="47">
        <f>SUM(B11*C11)</f>
        <v>10000</v>
      </c>
      <c r="E11" s="30"/>
      <c r="F11" s="30"/>
      <c r="G11" s="30"/>
      <c r="H11" s="30"/>
    </row>
    <row r="12" spans="1:8" ht="20.25">
      <c r="A12" s="32" t="s">
        <v>19</v>
      </c>
      <c r="B12" s="33"/>
      <c r="C12" s="33"/>
      <c r="D12" s="35">
        <f>SUM(D8:D11)</f>
        <v>18500</v>
      </c>
      <c r="E12" s="30"/>
      <c r="F12" s="30"/>
      <c r="G12" s="30"/>
      <c r="H12" s="30"/>
    </row>
    <row r="13" spans="1:8" ht="20.25">
      <c r="A13" s="32"/>
      <c r="B13" s="33"/>
      <c r="C13" s="33"/>
      <c r="D13" s="35"/>
      <c r="E13" s="30"/>
      <c r="F13" s="30"/>
      <c r="G13" s="30"/>
      <c r="H13" s="30"/>
    </row>
    <row r="14" spans="1:8" s="5" customFormat="1" ht="20.25">
      <c r="A14" s="32" t="s">
        <v>106</v>
      </c>
      <c r="B14" s="38"/>
      <c r="C14" s="39"/>
      <c r="D14" s="40"/>
      <c r="E14" s="30"/>
      <c r="F14" s="30"/>
      <c r="G14" s="30"/>
      <c r="H14" s="30"/>
    </row>
    <row r="15" spans="1:8" s="5" customFormat="1" ht="20.25">
      <c r="A15" s="33" t="s">
        <v>110</v>
      </c>
      <c r="B15" s="33">
        <v>1</v>
      </c>
      <c r="C15" s="42">
        <v>1500</v>
      </c>
      <c r="D15" s="44">
        <f>SUM(B15*C15)</f>
        <v>1500</v>
      </c>
      <c r="E15" s="30"/>
      <c r="F15" s="30"/>
      <c r="G15" s="30"/>
      <c r="H15" s="30"/>
    </row>
    <row r="16" spans="1:8" s="5" customFormat="1" ht="20.25">
      <c r="A16" s="33" t="s">
        <v>109</v>
      </c>
      <c r="B16" s="33">
        <v>10</v>
      </c>
      <c r="C16" s="42">
        <v>700</v>
      </c>
      <c r="D16" s="37">
        <f>SUM(B16*C16)</f>
        <v>7000</v>
      </c>
      <c r="E16" s="30"/>
      <c r="F16" s="30"/>
      <c r="G16" s="30"/>
      <c r="H16" s="30"/>
    </row>
    <row r="17" spans="1:9" s="5" customFormat="1" ht="20.25">
      <c r="A17" s="33" t="s">
        <v>111</v>
      </c>
      <c r="B17" s="33">
        <v>1</v>
      </c>
      <c r="C17" s="42">
        <v>500</v>
      </c>
      <c r="D17" s="37">
        <f>SUM(B17*C17)</f>
        <v>500</v>
      </c>
      <c r="E17" s="30" t="s">
        <v>112</v>
      </c>
      <c r="F17" s="30"/>
      <c r="G17" s="30"/>
      <c r="H17" s="30"/>
    </row>
    <row r="18" spans="1:9" s="5" customFormat="1" ht="20.25">
      <c r="A18" s="33" t="s">
        <v>119</v>
      </c>
      <c r="B18" s="33">
        <v>15</v>
      </c>
      <c r="C18" s="42">
        <f>20*13</f>
        <v>260</v>
      </c>
      <c r="D18" s="37">
        <f>SUM(B18*C18)</f>
        <v>3900</v>
      </c>
      <c r="E18" s="30" t="s">
        <v>120</v>
      </c>
      <c r="F18" s="30"/>
      <c r="G18" s="30"/>
      <c r="H18" s="30"/>
    </row>
    <row r="19" spans="1:9" s="5" customFormat="1" ht="20.25">
      <c r="A19" s="33" t="s">
        <v>107</v>
      </c>
      <c r="B19" s="33"/>
      <c r="C19" s="41">
        <v>0</v>
      </c>
      <c r="D19" s="37">
        <f>SUM(B19*C19)</f>
        <v>0</v>
      </c>
      <c r="E19" s="30"/>
      <c r="F19" s="30"/>
      <c r="G19" s="30" t="s">
        <v>108</v>
      </c>
      <c r="H19" s="30"/>
    </row>
    <row r="20" spans="1:9" s="5" customFormat="1" ht="20.25">
      <c r="A20" s="33" t="s">
        <v>204</v>
      </c>
      <c r="B20" s="33">
        <v>1</v>
      </c>
      <c r="C20" s="42">
        <f>1800+360</f>
        <v>2160</v>
      </c>
      <c r="D20" s="37">
        <f>SUM(C20*B20)</f>
        <v>2160</v>
      </c>
      <c r="E20" s="43">
        <f>1800*0.2</f>
        <v>360</v>
      </c>
      <c r="F20" s="30" t="s">
        <v>190</v>
      </c>
      <c r="G20" s="30"/>
      <c r="H20" s="30"/>
    </row>
    <row r="21" spans="1:9" s="5" customFormat="1" ht="20.25">
      <c r="A21" s="33"/>
      <c r="B21" s="33"/>
      <c r="C21" s="42"/>
      <c r="D21" s="37"/>
      <c r="E21" s="43"/>
      <c r="F21" s="30"/>
      <c r="G21" s="30"/>
      <c r="H21" s="30"/>
    </row>
    <row r="22" spans="1:9" s="5" customFormat="1" ht="20.25">
      <c r="A22" s="54" t="s">
        <v>207</v>
      </c>
      <c r="B22" s="33"/>
      <c r="C22" s="42"/>
      <c r="D22" s="37"/>
      <c r="E22" s="43"/>
      <c r="F22" s="30"/>
      <c r="G22" s="30"/>
      <c r="H22" s="30"/>
    </row>
    <row r="23" spans="1:9" s="5" customFormat="1" ht="20.25">
      <c r="A23" s="33" t="s">
        <v>113</v>
      </c>
      <c r="B23" s="33">
        <v>1</v>
      </c>
      <c r="C23" s="42">
        <f>+(12*114)+(2*30)+400</f>
        <v>1828</v>
      </c>
      <c r="D23" s="37">
        <f>SUM(B23*C23)</f>
        <v>1828</v>
      </c>
      <c r="E23" s="45" t="s">
        <v>114</v>
      </c>
      <c r="F23" s="45"/>
      <c r="G23" s="45"/>
      <c r="H23" s="45"/>
      <c r="I23" s="8"/>
    </row>
    <row r="24" spans="1:9" s="5" customFormat="1" ht="20.25">
      <c r="A24" s="33" t="s">
        <v>115</v>
      </c>
      <c r="B24" s="33">
        <v>1</v>
      </c>
      <c r="C24" s="42">
        <v>500</v>
      </c>
      <c r="D24" s="37">
        <f>SUM(B24*C24)</f>
        <v>500</v>
      </c>
      <c r="E24" s="30"/>
      <c r="F24" s="30"/>
      <c r="G24" s="30"/>
      <c r="H24" s="30"/>
    </row>
    <row r="25" spans="1:9" s="5" customFormat="1" ht="20.25">
      <c r="A25" s="33" t="s">
        <v>116</v>
      </c>
      <c r="B25" s="33">
        <v>13</v>
      </c>
      <c r="C25" s="42">
        <v>1500</v>
      </c>
      <c r="D25" s="37">
        <f>SUM(B25*C25)</f>
        <v>19500</v>
      </c>
      <c r="E25" s="30"/>
      <c r="F25" s="30"/>
      <c r="G25" s="30"/>
      <c r="H25" s="30"/>
    </row>
    <row r="26" spans="1:9" s="5" customFormat="1" ht="20.25">
      <c r="A26" s="33" t="s">
        <v>117</v>
      </c>
      <c r="B26" s="33">
        <v>7</v>
      </c>
      <c r="C26" s="42">
        <f>14*100</f>
        <v>1400</v>
      </c>
      <c r="D26" s="47">
        <f>SUM(B26*C26)</f>
        <v>9800</v>
      </c>
      <c r="E26" s="30" t="s">
        <v>118</v>
      </c>
      <c r="F26" s="30"/>
      <c r="G26" s="30"/>
      <c r="H26" s="30"/>
    </row>
    <row r="27" spans="1:9" s="5" customFormat="1" ht="20.25">
      <c r="A27" s="54" t="s">
        <v>208</v>
      </c>
      <c r="B27" s="33"/>
      <c r="C27" s="42"/>
      <c r="D27" s="37">
        <f>SUM(D23:D26)</f>
        <v>31628</v>
      </c>
      <c r="E27" s="30"/>
      <c r="F27" s="30"/>
      <c r="G27" s="30"/>
      <c r="H27" s="30"/>
    </row>
    <row r="28" spans="1:9" s="5" customFormat="1" ht="20.25">
      <c r="A28" s="33"/>
      <c r="B28" s="33"/>
      <c r="C28" s="42"/>
      <c r="D28" s="37"/>
      <c r="E28" s="30"/>
      <c r="F28" s="30"/>
      <c r="G28" s="30"/>
      <c r="H28" s="30"/>
    </row>
    <row r="29" spans="1:9" s="5" customFormat="1" ht="20.25">
      <c r="A29" s="33" t="s">
        <v>221</v>
      </c>
      <c r="B29" s="33">
        <v>1</v>
      </c>
      <c r="C29" s="42">
        <v>1000</v>
      </c>
      <c r="D29" s="37">
        <f>SUM(B29*C29)</f>
        <v>1000</v>
      </c>
      <c r="E29" s="30"/>
      <c r="F29" s="30"/>
      <c r="G29" s="30"/>
      <c r="H29" s="30"/>
    </row>
    <row r="30" spans="1:9" s="5" customFormat="1" ht="20.25">
      <c r="A30" s="33" t="s">
        <v>121</v>
      </c>
      <c r="B30" s="33"/>
      <c r="C30" s="42">
        <v>500</v>
      </c>
      <c r="D30" s="47">
        <v>500</v>
      </c>
      <c r="E30" s="30"/>
      <c r="F30" s="30"/>
      <c r="G30" s="30"/>
      <c r="H30" s="30"/>
    </row>
    <row r="31" spans="1:9" s="5" customFormat="1" ht="20.25">
      <c r="A31" s="32" t="s">
        <v>122</v>
      </c>
      <c r="B31" s="33"/>
      <c r="C31" s="34"/>
      <c r="D31" s="48">
        <f>SUM(D15:D30)</f>
        <v>79816</v>
      </c>
      <c r="E31" s="30"/>
      <c r="F31" s="30"/>
      <c r="G31" s="30"/>
      <c r="H31" s="30"/>
    </row>
    <row r="32" spans="1:9" ht="20.25">
      <c r="A32" s="33"/>
      <c r="B32" s="33"/>
      <c r="C32" s="33"/>
      <c r="D32" s="40"/>
      <c r="E32" s="30"/>
      <c r="F32" s="30"/>
      <c r="G32" s="30"/>
      <c r="H32" s="30"/>
    </row>
    <row r="33" spans="1:8" ht="20.25">
      <c r="A33" s="32" t="s">
        <v>85</v>
      </c>
      <c r="B33" s="33"/>
      <c r="C33" s="33"/>
      <c r="D33" s="46">
        <f>D12-D31</f>
        <v>-61316</v>
      </c>
      <c r="E33" s="30"/>
      <c r="F33" s="30"/>
      <c r="G33" s="30"/>
      <c r="H33" s="30"/>
    </row>
    <row r="34" spans="1:8" ht="20.25">
      <c r="A34" s="30"/>
      <c r="B34" s="30"/>
      <c r="C34" s="30"/>
      <c r="D34" s="30"/>
      <c r="E34" s="30"/>
      <c r="F34" s="30"/>
      <c r="G34" s="30"/>
      <c r="H34" s="30"/>
    </row>
    <row r="35" spans="1:8" ht="20.25">
      <c r="A35" s="30"/>
      <c r="B35" s="30"/>
      <c r="C35" s="30"/>
      <c r="D35" s="30"/>
      <c r="E35" s="30"/>
      <c r="F35" s="30"/>
      <c r="G35" s="30"/>
      <c r="H35" s="30"/>
    </row>
    <row r="36" spans="1:8" ht="15">
      <c r="A36" s="9"/>
      <c r="B36" s="9"/>
      <c r="C36" s="9"/>
      <c r="D36" s="9"/>
    </row>
    <row r="37" spans="1:8" ht="15">
      <c r="A37" s="9"/>
      <c r="B37" s="9"/>
      <c r="C37" s="9"/>
      <c r="D37" s="9"/>
    </row>
    <row r="38" spans="1:8" ht="15">
      <c r="A38" s="9"/>
      <c r="B38" s="9"/>
      <c r="C38" s="9"/>
      <c r="D38" s="9"/>
    </row>
    <row r="39" spans="1:8" ht="15">
      <c r="A39" s="9"/>
      <c r="B39" s="9"/>
      <c r="C39" s="9"/>
      <c r="D39" s="9"/>
    </row>
    <row r="40" spans="1:8" ht="15">
      <c r="A40" s="9"/>
      <c r="B40" s="9"/>
      <c r="C40" s="9"/>
      <c r="D40" s="9"/>
    </row>
    <row r="41" spans="1:8" ht="15">
      <c r="A41" s="9"/>
      <c r="B41" s="9"/>
      <c r="C41" s="9"/>
      <c r="D41" s="9"/>
    </row>
    <row r="42" spans="1:8" ht="15">
      <c r="A42" s="9"/>
      <c r="B42" s="9"/>
      <c r="C42" s="9"/>
      <c r="D42" s="9"/>
    </row>
    <row r="43" spans="1:8" ht="15">
      <c r="A43" s="9"/>
      <c r="B43" s="9"/>
      <c r="C43" s="9"/>
      <c r="D43" s="9"/>
    </row>
    <row r="44" spans="1:8" ht="15">
      <c r="A44" s="9"/>
      <c r="B44" s="9"/>
      <c r="C44" s="9"/>
      <c r="D44" s="9"/>
    </row>
    <row r="45" spans="1:8" ht="15">
      <c r="A45" s="9"/>
      <c r="B45" s="9"/>
      <c r="C45" s="9"/>
      <c r="D45" s="9"/>
    </row>
    <row r="46" spans="1:8" ht="15">
      <c r="A46" s="9"/>
      <c r="B46" s="9"/>
      <c r="C46" s="9"/>
      <c r="D46" s="9"/>
    </row>
    <row r="47" spans="1:8" ht="15">
      <c r="A47" s="9"/>
      <c r="B47" s="9"/>
      <c r="C47" s="9"/>
      <c r="D47" s="9"/>
    </row>
    <row r="48" spans="1:8" ht="15">
      <c r="A48" s="9"/>
      <c r="B48" s="9"/>
      <c r="C48" s="9"/>
      <c r="D48" s="9"/>
    </row>
    <row r="49" spans="1:4" ht="15">
      <c r="A49" s="9"/>
      <c r="B49" s="9"/>
      <c r="C49" s="9"/>
      <c r="D49" s="9"/>
    </row>
    <row r="50" spans="1:4" ht="15">
      <c r="A50" s="9"/>
      <c r="B50" s="9"/>
      <c r="C50" s="9"/>
      <c r="D50" s="9"/>
    </row>
    <row r="51" spans="1:4" ht="15">
      <c r="A51" s="9"/>
      <c r="B51" s="9"/>
      <c r="C51" s="9"/>
      <c r="D51" s="9"/>
    </row>
    <row r="52" spans="1:4" ht="15">
      <c r="A52" s="9"/>
      <c r="B52" s="9"/>
      <c r="C52" s="9"/>
      <c r="D52" s="9"/>
    </row>
    <row r="53" spans="1:4" ht="15">
      <c r="A53" s="9"/>
    </row>
    <row r="54" spans="1:4" ht="15">
      <c r="A54" s="9"/>
    </row>
    <row r="55" spans="1:4" ht="15">
      <c r="A55" s="9"/>
    </row>
    <row r="56" spans="1:4" ht="15">
      <c r="A56" s="9"/>
    </row>
  </sheetData>
  <printOptions horizontalCentered="1" verticalCentered="1"/>
  <pageMargins left="0.5" right="0.5" top="0.5" bottom="0.5" header="0.5" footer="0.5"/>
  <pageSetup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D9" sqref="D9"/>
    </sheetView>
  </sheetViews>
  <sheetFormatPr defaultRowHeight="15"/>
  <cols>
    <col min="1" max="1" width="37.7109375" customWidth="1"/>
    <col min="2" max="2" width="24" customWidth="1"/>
    <col min="3" max="3" width="18.7109375" customWidth="1"/>
    <col min="4" max="4" width="17.42578125" customWidth="1"/>
  </cols>
  <sheetData>
    <row r="1" spans="1:4" ht="20.25">
      <c r="A1" s="50" t="s">
        <v>192</v>
      </c>
      <c r="B1" s="51"/>
      <c r="C1" s="51"/>
    </row>
    <row r="2" spans="1:4" ht="20.25">
      <c r="A2" s="50" t="s">
        <v>193</v>
      </c>
      <c r="B2" s="51"/>
      <c r="C2" s="51"/>
    </row>
    <row r="3" spans="1:4" ht="20.25">
      <c r="A3" s="51"/>
      <c r="B3" s="51"/>
      <c r="C3" s="51"/>
    </row>
    <row r="4" spans="1:4" ht="20.25">
      <c r="A4" s="51" t="s">
        <v>194</v>
      </c>
      <c r="B4" s="51">
        <v>20</v>
      </c>
      <c r="C4" s="51">
        <v>22</v>
      </c>
    </row>
    <row r="5" spans="1:4" ht="20.25">
      <c r="A5" s="51" t="s">
        <v>196</v>
      </c>
      <c r="B5" s="51">
        <v>12.5</v>
      </c>
      <c r="C5" s="51">
        <v>12.5</v>
      </c>
    </row>
    <row r="6" spans="1:4" ht="20.25">
      <c r="A6" s="51" t="s">
        <v>195</v>
      </c>
      <c r="B6" s="51">
        <v>9</v>
      </c>
      <c r="C6" s="51">
        <v>10</v>
      </c>
    </row>
    <row r="7" spans="1:4" ht="20.25">
      <c r="A7" s="51" t="s">
        <v>197</v>
      </c>
      <c r="B7" s="52">
        <v>12</v>
      </c>
      <c r="C7" s="51">
        <v>12</v>
      </c>
    </row>
    <row r="8" spans="1:4" ht="20.25">
      <c r="A8" s="51"/>
      <c r="B8" s="51"/>
      <c r="C8" s="51"/>
    </row>
    <row r="9" spans="1:4" ht="20.25">
      <c r="A9" s="51" t="s">
        <v>198</v>
      </c>
      <c r="B9" s="53">
        <f>B4*B5*B6*B7</f>
        <v>27000</v>
      </c>
      <c r="C9" s="53">
        <f>C4*C5*C6*C7</f>
        <v>33000</v>
      </c>
      <c r="D9" s="53">
        <f>SUM(B9:C9)</f>
        <v>60000</v>
      </c>
    </row>
    <row r="10" spans="1:4" ht="20.25">
      <c r="A10" s="51"/>
      <c r="B10" s="51"/>
      <c r="C10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A10" sqref="A10"/>
    </sheetView>
  </sheetViews>
  <sheetFormatPr defaultRowHeight="15"/>
  <cols>
    <col min="1" max="1" width="28.5703125" customWidth="1"/>
    <col min="3" max="3" width="15.85546875" customWidth="1"/>
    <col min="4" max="5" width="12.42578125" customWidth="1"/>
    <col min="6" max="6" width="9.5703125" bestFit="1" customWidth="1"/>
  </cols>
  <sheetData>
    <row r="1" spans="1:6">
      <c r="A1" t="s">
        <v>209</v>
      </c>
    </row>
    <row r="3" spans="1:6">
      <c r="B3" s="1" t="s">
        <v>210</v>
      </c>
      <c r="C3" s="1" t="s">
        <v>211</v>
      </c>
      <c r="D3" s="1" t="s">
        <v>213</v>
      </c>
      <c r="E3" s="1" t="s">
        <v>214</v>
      </c>
    </row>
    <row r="4" spans="1:6">
      <c r="A4" t="s">
        <v>212</v>
      </c>
      <c r="B4">
        <v>40</v>
      </c>
      <c r="C4">
        <v>10</v>
      </c>
      <c r="D4" s="49">
        <v>15</v>
      </c>
      <c r="E4" s="49"/>
      <c r="F4" s="56">
        <f>B4*C4*D4</f>
        <v>6000</v>
      </c>
    </row>
    <row r="5" spans="1:6">
      <c r="A5" t="s">
        <v>215</v>
      </c>
      <c r="B5">
        <v>18</v>
      </c>
      <c r="E5">
        <v>100</v>
      </c>
      <c r="F5" s="56">
        <f>B5*E5</f>
        <v>1800</v>
      </c>
    </row>
    <row r="6" spans="1:6">
      <c r="A6" t="s">
        <v>216</v>
      </c>
      <c r="B6">
        <v>18</v>
      </c>
      <c r="E6">
        <v>50</v>
      </c>
      <c r="F6" s="56">
        <f>B6*E6</f>
        <v>900</v>
      </c>
    </row>
    <row r="7" spans="1:6">
      <c r="F7" s="56"/>
    </row>
    <row r="8" spans="1:6">
      <c r="F8" s="56"/>
    </row>
    <row r="9" spans="1:6">
      <c r="A9" t="s">
        <v>217</v>
      </c>
      <c r="F9" s="56">
        <f>SUM(F4:F8)</f>
        <v>8700</v>
      </c>
    </row>
    <row r="10" spans="1:6">
      <c r="F10" s="56"/>
    </row>
    <row r="11" spans="1:6">
      <c r="F11" s="56"/>
    </row>
    <row r="12" spans="1:6">
      <c r="F12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2016 Budget</vt:lpstr>
      <vt:lpstr>HOME City Hall (NEA)</vt:lpstr>
      <vt:lpstr>Prince 2016</vt:lpstr>
      <vt:lpstr>Prince 2016 Notes</vt:lpstr>
      <vt:lpstr>Keene State College Tour 2016</vt:lpstr>
      <vt:lpstr>Austin, Texas HOME</vt:lpstr>
      <vt:lpstr>China Tour 2016</vt:lpstr>
      <vt:lpstr>Rehearsal Pay</vt:lpstr>
      <vt:lpstr>Office Assistance</vt:lpstr>
      <vt:lpstr>'2016 Budget'!Print_Area</vt:lpstr>
      <vt:lpstr>'Austin, Texas HOME'!Print_Area</vt:lpstr>
      <vt:lpstr>'China Tour 2016'!Print_Area</vt:lpstr>
      <vt:lpstr>'Keene State College Tour 2016'!Print_Area</vt:lpstr>
      <vt:lpstr>'2016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KYLDPhilly</dc:creator>
  <cp:lastModifiedBy>KYLDPhilly</cp:lastModifiedBy>
  <cp:lastPrinted>2015-12-03T22:14:45Z</cp:lastPrinted>
  <dcterms:created xsi:type="dcterms:W3CDTF">2014-11-05T18:31:25Z</dcterms:created>
  <dcterms:modified xsi:type="dcterms:W3CDTF">2015-12-05T16:19:44Z</dcterms:modified>
</cp:coreProperties>
</file>